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Default Extension="vml" ContentType="application/vnd.openxmlformats-officedocument.vmlDrawing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16" windowWidth="29040" windowHeight="15840" firstSheet="19" activeTab="24"/>
  </bookViews>
  <sheets>
    <sheet name="Люб. Народная тяга" sheetId="1" r:id="rId1"/>
    <sheet name="СОВ Русская тяга" sheetId="2" r:id="rId2"/>
    <sheet name="Проф. Русская тяга" sheetId="3" r:id="rId3"/>
    <sheet name="Проф. Тяговое двоеборье" sheetId="4" r:id="rId4"/>
    <sheet name="Проф. Жимовое двоеборье" sheetId="5" r:id="rId5"/>
    <sheet name="Люб. Жимовое двоеборье" sheetId="6" r:id="rId6"/>
    <sheet name="Проф. народный жим 1 вес" sheetId="7" r:id="rId7"/>
    <sheet name="Люб. народный жим 1 вес" sheetId="8" r:id="rId8"/>
    <sheet name="РЖ любители 100 кг." sheetId="9" r:id="rId9"/>
    <sheet name="РЖ любители 55 кг." sheetId="10" r:id="rId10"/>
    <sheet name="РЖ Проф 100 кг." sheetId="11" r:id="rId11"/>
    <sheet name="РЖ Проф 75 кг." sheetId="12" r:id="rId12"/>
    <sheet name="РЖ Проф 55 кг." sheetId="13" r:id="rId13"/>
    <sheet name="Пауэрспорт Профессионалы" sheetId="14" r:id="rId14"/>
    <sheet name="Пауэрспорт Любители" sheetId="15" r:id="rId15"/>
    <sheet name="Бицепс Любители" sheetId="16" r:id="rId16"/>
    <sheet name="Жим стоя Любители" sheetId="17" r:id="rId17"/>
    <sheet name="Двоеборье люб" sheetId="18" r:id="rId18"/>
    <sheet name="Люб. присед б.э." sheetId="19" r:id="rId19"/>
    <sheet name="СОВ присед" sheetId="20" r:id="rId20"/>
    <sheet name="ПРО тяга б.э." sheetId="21" r:id="rId21"/>
    <sheet name="Люб. тяга б.э." sheetId="22" r:id="rId22"/>
    <sheet name="Люб. жим софт экип." sheetId="23" r:id="rId23"/>
    <sheet name="ПРО жим б.э." sheetId="24" r:id="rId24"/>
    <sheet name="Люб. жим б.э." sheetId="25" r:id="rId25"/>
    <sheet name="СОВ жим" sheetId="26" r:id="rId26"/>
    <sheet name="ПРО Военный жим" sheetId="27" r:id="rId27"/>
    <sheet name="Люб. Военный жим" sheetId="28" r:id="rId28"/>
    <sheet name="Люб. ПЛ. б.э." sheetId="29" r:id="rId29"/>
    <sheet name="ПРО ПЛ. б.э." sheetId="30" r:id="rId30"/>
  </sheets>
  <definedNames/>
  <calcPr fullCalcOnLoad="1" refMode="R1C1"/>
</workbook>
</file>

<file path=xl/sharedStrings.xml><?xml version="1.0" encoding="utf-8"?>
<sst xmlns="http://schemas.openxmlformats.org/spreadsheetml/2006/main" count="2593" uniqueCount="713">
  <si>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</si>
  <si>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</si>
  <si>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</si>
  <si>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</si>
  <si>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</si>
  <si>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</si>
  <si>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</si>
  <si>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</si>
  <si>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</si>
  <si>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Чемпионат Содружества Независимых Государств
Любители пауэрлифтинг без экипировки
Курск/Курская область 30 - 31 марта 2019 г.</t>
  </si>
  <si>
    <t>Shv/Mel</t>
  </si>
  <si>
    <t>Приседание</t>
  </si>
  <si>
    <t>Жим лёжа</t>
  </si>
  <si>
    <t>Становая тяга</t>
  </si>
  <si>
    <t>ВЕСОВАЯ КАТЕГОРИЯ   60</t>
  </si>
  <si>
    <t>Змиевская Татьяна</t>
  </si>
  <si>
    <t>1. Змиевская Татьяна</t>
  </si>
  <si>
    <t>Открытая (12.09.1990)/28</t>
  </si>
  <si>
    <t>57,10</t>
  </si>
  <si>
    <t xml:space="preserve">Академия Силы </t>
  </si>
  <si>
    <t xml:space="preserve">Курчатов/Курская область </t>
  </si>
  <si>
    <t>90,0</t>
  </si>
  <si>
    <t>45,0</t>
  </si>
  <si>
    <t>50,0</t>
  </si>
  <si>
    <t>52,5</t>
  </si>
  <si>
    <t>100,0</t>
  </si>
  <si>
    <t>107,5</t>
  </si>
  <si>
    <t xml:space="preserve">Меркулов В.В. </t>
  </si>
  <si>
    <t>ВЕСОВАЯ КАТЕГОРИЯ   75</t>
  </si>
  <si>
    <t>Слащева Яна</t>
  </si>
  <si>
    <t>1. Слащева Яна</t>
  </si>
  <si>
    <t>Открытая (13.02.1992)/27</t>
  </si>
  <si>
    <t>72,70</t>
  </si>
  <si>
    <t xml:space="preserve">лично </t>
  </si>
  <si>
    <t xml:space="preserve">Курск/Курская область </t>
  </si>
  <si>
    <t>70,0</t>
  </si>
  <si>
    <t>75,0</t>
  </si>
  <si>
    <t>47,5</t>
  </si>
  <si>
    <t>105,0</t>
  </si>
  <si>
    <t>110,0</t>
  </si>
  <si>
    <t>115,0</t>
  </si>
  <si>
    <t xml:space="preserve">Рыжих О. </t>
  </si>
  <si>
    <t>ВЕСОВАЯ КАТЕГОРИЯ   67.5</t>
  </si>
  <si>
    <t>Пономарев Сергей</t>
  </si>
  <si>
    <t>1. Пономарев Сергей</t>
  </si>
  <si>
    <t>Юноши 14-15 (20.03.2005)/14</t>
  </si>
  <si>
    <t>64,95</t>
  </si>
  <si>
    <t>80,0</t>
  </si>
  <si>
    <t>85,0</t>
  </si>
  <si>
    <t>35,0</t>
  </si>
  <si>
    <t>40,0</t>
  </si>
  <si>
    <t>42,5</t>
  </si>
  <si>
    <t>Даржай Шолбан</t>
  </si>
  <si>
    <t>Открытая (16.05.1986)/32</t>
  </si>
  <si>
    <t>65,85</t>
  </si>
  <si>
    <t xml:space="preserve">Москва </t>
  </si>
  <si>
    <t>170,0</t>
  </si>
  <si>
    <t xml:space="preserve"> </t>
  </si>
  <si>
    <t>ВЕСОВАЯ КАТЕГОРИЯ   90</t>
  </si>
  <si>
    <t>Морозов Руслан</t>
  </si>
  <si>
    <t>1. Морозов Руслан</t>
  </si>
  <si>
    <t>Юниоры 20 - 23 (07.12.1997)/21</t>
  </si>
  <si>
    <t>90,00</t>
  </si>
  <si>
    <t>180,0</t>
  </si>
  <si>
    <t>200,0</t>
  </si>
  <si>
    <t>120,0</t>
  </si>
  <si>
    <t>122,5</t>
  </si>
  <si>
    <t>220,0</t>
  </si>
  <si>
    <t>240,0</t>
  </si>
  <si>
    <t>ВЕСОВАЯ КАТЕГОРИЯ   110</t>
  </si>
  <si>
    <t>Томилов Владимир</t>
  </si>
  <si>
    <t>1. Томилов Владимир</t>
  </si>
  <si>
    <t>Открытая (02.02.1994)/25</t>
  </si>
  <si>
    <t>109,00</t>
  </si>
  <si>
    <t>230,0</t>
  </si>
  <si>
    <t>155,0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</si>
  <si>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</si>
  <si>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</si>
  <si>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</si>
  <si>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</si>
  <si>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</si>
  <si>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</si>
  <si>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</si>
  <si>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</si>
  <si>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</si>
  <si>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</si>
  <si>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</si>
  <si>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</si>
  <si>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</si>
  <si>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60</t>
  </si>
  <si>
    <t>250,0</t>
  </si>
  <si>
    <t>224,3375</t>
  </si>
  <si>
    <t>75</t>
  </si>
  <si>
    <t>242,5</t>
  </si>
  <si>
    <t>179,0378</t>
  </si>
  <si>
    <t xml:space="preserve">Мужчины </t>
  </si>
  <si>
    <t xml:space="preserve">Юноши </t>
  </si>
  <si>
    <t xml:space="preserve">Юноши 14-15 </t>
  </si>
  <si>
    <t>67.5</t>
  </si>
  <si>
    <t>217,5</t>
  </si>
  <si>
    <t>201,1521</t>
  </si>
  <si>
    <t xml:space="preserve">Юниоры </t>
  </si>
  <si>
    <t xml:space="preserve">Юниоры 20 - 23 </t>
  </si>
  <si>
    <t>90</t>
  </si>
  <si>
    <t>522,5</t>
  </si>
  <si>
    <t>311,9357</t>
  </si>
  <si>
    <t>110</t>
  </si>
  <si>
    <t>615,0</t>
  </si>
  <si>
    <t>330,6855</t>
  </si>
  <si>
    <t>Чемпионат Содружества Независимых Государств
ПРО пауэрлифтинг без экипировки
Курск/Курская область 30 - 31 марта 2019 г.</t>
  </si>
  <si>
    <t>ВЕСОВАЯ КАТЕГОРИЯ   82.5</t>
  </si>
  <si>
    <t>Беглов Юрий</t>
  </si>
  <si>
    <t>1. Беглов Юрий</t>
  </si>
  <si>
    <t>Мастера 50 - 54 (06.05.1965)/53</t>
  </si>
  <si>
    <t>79,10</t>
  </si>
  <si>
    <t xml:space="preserve">Воронеж/Воронежская область </t>
  </si>
  <si>
    <t>165,0</t>
  </si>
  <si>
    <t>190,0</t>
  </si>
  <si>
    <t>112,5</t>
  </si>
  <si>
    <t>210,0</t>
  </si>
  <si>
    <t xml:space="preserve">Мастера </t>
  </si>
  <si>
    <t xml:space="preserve">Мастера 50 - 54 </t>
  </si>
  <si>
    <t>82.5</t>
  </si>
  <si>
    <t>532,5</t>
  </si>
  <si>
    <t>435,3370</t>
  </si>
  <si>
    <t>Чемпионат Содружества Независимых Государств
Любители военный жим
Курск/Курская область 30 - 31 марта 2019 г.</t>
  </si>
  <si>
    <t>Талдыкин Алексей</t>
  </si>
  <si>
    <t>1. Талдыкин Алексей</t>
  </si>
  <si>
    <t>Открытая (29.03.1980)/39</t>
  </si>
  <si>
    <t>87,75</t>
  </si>
  <si>
    <t xml:space="preserve">Липецк/Липецкая область </t>
  </si>
  <si>
    <t>135,0</t>
  </si>
  <si>
    <t>142,5</t>
  </si>
  <si>
    <t>147,5</t>
  </si>
  <si>
    <t>Ронкин Михаил</t>
  </si>
  <si>
    <t>1. Ронкин Михаил</t>
  </si>
  <si>
    <t>Мастера 55 - 59 (13.11.1961)/57</t>
  </si>
  <si>
    <t>86,75</t>
  </si>
  <si>
    <t>95,0</t>
  </si>
  <si>
    <t>ВЕСОВАЯ КАТЕГОРИЯ   100</t>
  </si>
  <si>
    <t>-. Криштапов Иван</t>
  </si>
  <si>
    <t>Открытая (14.06.1993)/25</t>
  </si>
  <si>
    <t>91,65</t>
  </si>
  <si>
    <t xml:space="preserve">Брянск/Брянская область </t>
  </si>
  <si>
    <t>150,0</t>
  </si>
  <si>
    <t xml:space="preserve">Михалев Е. </t>
  </si>
  <si>
    <t>Яцевило Алексей</t>
  </si>
  <si>
    <t>1. Яцевило Алексей</t>
  </si>
  <si>
    <t>Открытая (23.09.1979)/39</t>
  </si>
  <si>
    <t>106,85</t>
  </si>
  <si>
    <t>145,0</t>
  </si>
  <si>
    <t>Михеев Вадим</t>
  </si>
  <si>
    <t>1. Михеев Вадим</t>
  </si>
  <si>
    <t>Мастера 50 - 54 (21.04.1966)/52</t>
  </si>
  <si>
    <t>110,00</t>
  </si>
  <si>
    <t>117,5</t>
  </si>
  <si>
    <t>87,6888</t>
  </si>
  <si>
    <t>78,4088</t>
  </si>
  <si>
    <t xml:space="preserve">Мастера 55 - 59 </t>
  </si>
  <si>
    <t>97,4928</t>
  </si>
  <si>
    <t>76,2138</t>
  </si>
  <si>
    <t>Результат</t>
  </si>
  <si>
    <t>Чемпионат Содружества Независимых Государств
ПРО военный жим
Курск/Курская область 30 - 31 марта 2019 г.</t>
  </si>
  <si>
    <t>Локтионова Илия</t>
  </si>
  <si>
    <t>1. Локтионова Илия</t>
  </si>
  <si>
    <t>Открытая (02.09.1980)/38</t>
  </si>
  <si>
    <t>81,20</t>
  </si>
  <si>
    <t xml:space="preserve">West Gym </t>
  </si>
  <si>
    <t>83,4654</t>
  </si>
  <si>
    <t>Чемпионат Содружества Независимых Государств
СОВ жим лежа
Курск/Курская область 30 - 31 марта 2019 г.</t>
  </si>
  <si>
    <t>Тудэ Анатолий</t>
  </si>
  <si>
    <t>1. Тудэ Анатолий</t>
  </si>
  <si>
    <t>Открытая (04.09.1985)/33</t>
  </si>
  <si>
    <t>85,45</t>
  </si>
  <si>
    <t>Акатов Игорь</t>
  </si>
  <si>
    <t>1. Акатов Игорь</t>
  </si>
  <si>
    <t>Мастера 55 - 59 (02.11.1960)/58</t>
  </si>
  <si>
    <t>85,30</t>
  </si>
  <si>
    <t>60,4750</t>
  </si>
  <si>
    <t>97,5915</t>
  </si>
  <si>
    <t>Чемпионат Содружества Независимых Государств
Любители жим лежа без экипировки
Курск/Курская область 30 - 31 марта 2019 г.</t>
  </si>
  <si>
    <t>Гостева Валентина</t>
  </si>
  <si>
    <t>1. Гостева Валентина</t>
  </si>
  <si>
    <t>Мастера 60 - 64 (07.08.1955)/63</t>
  </si>
  <si>
    <t>56,60</t>
  </si>
  <si>
    <t>62,5</t>
  </si>
  <si>
    <t>65,0</t>
  </si>
  <si>
    <t xml:space="preserve">Дородных В.Н. </t>
  </si>
  <si>
    <t>ВЕСОВАЯ КАТЕГОРИЯ   56</t>
  </si>
  <si>
    <t>Аболмасов Никита</t>
  </si>
  <si>
    <t>1. Аболмасов Никита</t>
  </si>
  <si>
    <t>Юноши 14-15 (26.10.2003)/15</t>
  </si>
  <si>
    <t>55,00</t>
  </si>
  <si>
    <t xml:space="preserve">Щигры/Курская область </t>
  </si>
  <si>
    <t>82,5</t>
  </si>
  <si>
    <t xml:space="preserve">Рубцов С. </t>
  </si>
  <si>
    <t>Лученков Иван</t>
  </si>
  <si>
    <t>1. Лученков Иван</t>
  </si>
  <si>
    <t>Открытая (30.03.1991)/28</t>
  </si>
  <si>
    <t>66,50</t>
  </si>
  <si>
    <t xml:space="preserve">Смоленск/Смоленская область </t>
  </si>
  <si>
    <t>140,0</t>
  </si>
  <si>
    <t>Гриднев Максим</t>
  </si>
  <si>
    <t>1. Гриднев Максим</t>
  </si>
  <si>
    <t>Открытая (31.10.1992)/26</t>
  </si>
  <si>
    <t>73,20</t>
  </si>
  <si>
    <t xml:space="preserve">Мичуринск/Тамбовская область </t>
  </si>
  <si>
    <t>167,5</t>
  </si>
  <si>
    <t>175,0</t>
  </si>
  <si>
    <t xml:space="preserve">Григорьев Д.П. </t>
  </si>
  <si>
    <t>Амелин Игорь</t>
  </si>
  <si>
    <t>2. Амелин Игорь</t>
  </si>
  <si>
    <t>Открытая (22.07.1975)/43</t>
  </si>
  <si>
    <t>74,40</t>
  </si>
  <si>
    <t>160,0</t>
  </si>
  <si>
    <t xml:space="preserve">Милосной С. </t>
  </si>
  <si>
    <t>Алмосов Александр</t>
  </si>
  <si>
    <t>3. Алмосов Александр</t>
  </si>
  <si>
    <t>Открытая (15.11.1989)/29</t>
  </si>
  <si>
    <t>73,05</t>
  </si>
  <si>
    <t xml:space="preserve">Росгвардия </t>
  </si>
  <si>
    <t>125,0</t>
  </si>
  <si>
    <t>130,0</t>
  </si>
  <si>
    <t>137,5</t>
  </si>
  <si>
    <t xml:space="preserve">Ковалёв А. </t>
  </si>
  <si>
    <t>1. Амелин Игорь</t>
  </si>
  <si>
    <t>Мастера 40 - 44 (22.07.1975)/43</t>
  </si>
  <si>
    <t>Парамонов Илья</t>
  </si>
  <si>
    <t>1. Парамонов Илья</t>
  </si>
  <si>
    <t>Юниоры 20 - 23 (20.09.1995)/23</t>
  </si>
  <si>
    <t>79,40</t>
  </si>
  <si>
    <t>Иноземцев Николай</t>
  </si>
  <si>
    <t>1. Иноземцев Николай</t>
  </si>
  <si>
    <t>Открытая (08.04.1992)/26</t>
  </si>
  <si>
    <t>82,50</t>
  </si>
  <si>
    <t>166,0</t>
  </si>
  <si>
    <t>Медведев Илья</t>
  </si>
  <si>
    <t>2. Медведев Илья</t>
  </si>
  <si>
    <t>Открытая (16.07.1994)/24</t>
  </si>
  <si>
    <t>81,85</t>
  </si>
  <si>
    <t>152,5</t>
  </si>
  <si>
    <t>157,5</t>
  </si>
  <si>
    <t>Захаров Иван</t>
  </si>
  <si>
    <t>3. Захаров Иван</t>
  </si>
  <si>
    <t>Открытая (13.07.1984)/34</t>
  </si>
  <si>
    <t>81,05</t>
  </si>
  <si>
    <t>Открытая (28.11.1980)/38</t>
  </si>
  <si>
    <t>82,25</t>
  </si>
  <si>
    <t xml:space="preserve">Локтионова Илия </t>
  </si>
  <si>
    <t>Шашков Алексей</t>
  </si>
  <si>
    <t>1. Шашков Алексей</t>
  </si>
  <si>
    <t>Юниоры 20 - 23 (03.01.1997)/22</t>
  </si>
  <si>
    <t>89,65</t>
  </si>
  <si>
    <t>Ярыгин Роман</t>
  </si>
  <si>
    <t>2. Ярыгин Роман</t>
  </si>
  <si>
    <t>Юниоры 20 - 23 (25.12.1996)/22</t>
  </si>
  <si>
    <t>88,15</t>
  </si>
  <si>
    <t xml:space="preserve">Косинов О.А. </t>
  </si>
  <si>
    <t>Косинов Олег</t>
  </si>
  <si>
    <t>1. Косинов Олег</t>
  </si>
  <si>
    <t>Открытая (04.01.1982)/37</t>
  </si>
  <si>
    <t>89,50</t>
  </si>
  <si>
    <t>162,5</t>
  </si>
  <si>
    <t>2. Талдыкин Алексей</t>
  </si>
  <si>
    <t>Коростелев Федор</t>
  </si>
  <si>
    <t>3. Коростелев Федор</t>
  </si>
  <si>
    <t>Открытая (20.07.1984)/34</t>
  </si>
  <si>
    <t>82,80</t>
  </si>
  <si>
    <t xml:space="preserve">Старый Оскол/Белгородская область </t>
  </si>
  <si>
    <t>Дегтярев Дмитрий</t>
  </si>
  <si>
    <t>4. Дегтярев Дмитрий</t>
  </si>
  <si>
    <t>Открытая (25.08.1984)/34</t>
  </si>
  <si>
    <t>87,00</t>
  </si>
  <si>
    <t>Лукьянчиков Владимир</t>
  </si>
  <si>
    <t>88,55</t>
  </si>
  <si>
    <t>Сотников Эдуард</t>
  </si>
  <si>
    <t>1. Сотников Эдуард</t>
  </si>
  <si>
    <t>Мастера 50 - 54 (12.09.1967)/51</t>
  </si>
  <si>
    <t>85,70</t>
  </si>
  <si>
    <t>Сидоренко Владимир</t>
  </si>
  <si>
    <t>1. Сидоренко Владимир</t>
  </si>
  <si>
    <t>Мастера 55 - 59 (27.10.1961)/57</t>
  </si>
  <si>
    <t>84,80</t>
  </si>
  <si>
    <t>Мастера 55 - 59 (23.12.1959)/59</t>
  </si>
  <si>
    <t>Рюмшин Вадим</t>
  </si>
  <si>
    <t>1. Рюмшин Вадим</t>
  </si>
  <si>
    <t>Юниоры 20 - 23 (03.04.1997)/21</t>
  </si>
  <si>
    <t>93,60</t>
  </si>
  <si>
    <t>Шевченко Александр</t>
  </si>
  <si>
    <t>1. Шевченко Александр</t>
  </si>
  <si>
    <t>Открытая (30.01.1989)/30</t>
  </si>
  <si>
    <t>93,95</t>
  </si>
  <si>
    <t xml:space="preserve">Сталь </t>
  </si>
  <si>
    <t xml:space="preserve">Шерман Д. </t>
  </si>
  <si>
    <t>Дугин Игорь</t>
  </si>
  <si>
    <t>1. Дугин Игорь</t>
  </si>
  <si>
    <t>Мастера 40 - 44 (27.09.1977)/41</t>
  </si>
  <si>
    <t>100,00</t>
  </si>
  <si>
    <t>Прилепский Антон</t>
  </si>
  <si>
    <t>1. Прилепский Антон</t>
  </si>
  <si>
    <t>Юниоры 20 - 23 (08.05.1998)/20</t>
  </si>
  <si>
    <t>103,75</t>
  </si>
  <si>
    <t>ВЕСОВАЯ КАТЕГОРИЯ   125</t>
  </si>
  <si>
    <t>-. Михеев Максим</t>
  </si>
  <si>
    <t>Открытая (13.08.1987)/31</t>
  </si>
  <si>
    <t>115,50</t>
  </si>
  <si>
    <t>Яковлев Дмитрий</t>
  </si>
  <si>
    <t>1. Яковлев Дмитрий</t>
  </si>
  <si>
    <t>Мастера 40 - 44 (02.02.1978)/41</t>
  </si>
  <si>
    <t>115,15</t>
  </si>
  <si>
    <t>195,0</t>
  </si>
  <si>
    <t xml:space="preserve">Мастера 60 - 64 </t>
  </si>
  <si>
    <t>102,2537</t>
  </si>
  <si>
    <t>56</t>
  </si>
  <si>
    <t>86,8751</t>
  </si>
  <si>
    <t>100,7364</t>
  </si>
  <si>
    <t>92,8028</t>
  </si>
  <si>
    <t>100</t>
  </si>
  <si>
    <t>83,1838</t>
  </si>
  <si>
    <t>82,9511</t>
  </si>
  <si>
    <t>71,5950</t>
  </si>
  <si>
    <t>121,9320</t>
  </si>
  <si>
    <t>106,9920</t>
  </si>
  <si>
    <t>102,9980</t>
  </si>
  <si>
    <t>99,0880</t>
  </si>
  <si>
    <t>97,2877</t>
  </si>
  <si>
    <t>95,4363</t>
  </si>
  <si>
    <t>95,1200</t>
  </si>
  <si>
    <t>94,9617</t>
  </si>
  <si>
    <t>88,2115</t>
  </si>
  <si>
    <t>82,8240</t>
  </si>
  <si>
    <t>75,2460</t>
  </si>
  <si>
    <t>74,7250</t>
  </si>
  <si>
    <t>123,6873</t>
  </si>
  <si>
    <t>116,2775</t>
  </si>
  <si>
    <t xml:space="preserve">Мастера 40 - 44 </t>
  </si>
  <si>
    <t>108,9179</t>
  </si>
  <si>
    <t>125</t>
  </si>
  <si>
    <t>101,2403</t>
  </si>
  <si>
    <t>81,9601</t>
  </si>
  <si>
    <t>Чемпионат Содружества Независимых Государств
ПРО жим лежа без экипировки
Курск/Курская область 30 - 31 марта 2019 г.</t>
  </si>
  <si>
    <t>Дудин Андрей</t>
  </si>
  <si>
    <t>1. Дудин Андрей</t>
  </si>
  <si>
    <t>Открытая (27.02.1994)/25</t>
  </si>
  <si>
    <t>70,25</t>
  </si>
  <si>
    <t xml:space="preserve">Орёл/Орловская область </t>
  </si>
  <si>
    <t>Логутов Виктор</t>
  </si>
  <si>
    <t>1. Логутов Виктор</t>
  </si>
  <si>
    <t xml:space="preserve">Туапсе/Краснодарский край </t>
  </si>
  <si>
    <t>Гаврилюк Сергей</t>
  </si>
  <si>
    <t>1. Гаврилюк Сергей</t>
  </si>
  <si>
    <t>Открытая (02.09.1988)/30</t>
  </si>
  <si>
    <t>98,30</t>
  </si>
  <si>
    <t>192,5</t>
  </si>
  <si>
    <t>Шаймарданов Артур</t>
  </si>
  <si>
    <t>1. Шаймарданов Артур</t>
  </si>
  <si>
    <t>Мастера 40 - 44 (06.05.1975)/43</t>
  </si>
  <si>
    <t>91,35</t>
  </si>
  <si>
    <t>Малеев Сергей</t>
  </si>
  <si>
    <t>1. Малеев Сергей</t>
  </si>
  <si>
    <t>Открытая (18.03.1977)/42</t>
  </si>
  <si>
    <t>104,50</t>
  </si>
  <si>
    <t>Шутеев Роман</t>
  </si>
  <si>
    <t>2. Шутеев Роман</t>
  </si>
  <si>
    <t>Открытая (13.08.1985)/33</t>
  </si>
  <si>
    <t>103,10</t>
  </si>
  <si>
    <t>Маркелов Юрий</t>
  </si>
  <si>
    <t>3. Маркелов Юрий</t>
  </si>
  <si>
    <t>Открытая (14.08.1982)/36</t>
  </si>
  <si>
    <t>108,95</t>
  </si>
  <si>
    <t>Мастера 40 - 44 (18.03.1977)/42</t>
  </si>
  <si>
    <t>Рыжков Анатолий</t>
  </si>
  <si>
    <t>1. Рыжков Анатолий</t>
  </si>
  <si>
    <t>Открытая (20.06.1984)/34</t>
  </si>
  <si>
    <t>116,00</t>
  </si>
  <si>
    <t>207,5</t>
  </si>
  <si>
    <t>212,5</t>
  </si>
  <si>
    <t>Ковалёв Андрей</t>
  </si>
  <si>
    <t>2. Ковалёв Андрей</t>
  </si>
  <si>
    <t>Открытая (14.09.1992)/26</t>
  </si>
  <si>
    <t>112,30</t>
  </si>
  <si>
    <t>197,5</t>
  </si>
  <si>
    <t>Половков Михаил</t>
  </si>
  <si>
    <t>3. Половков Михаил</t>
  </si>
  <si>
    <t>Открытая (08.10.1977)/41</t>
  </si>
  <si>
    <t>112,50</t>
  </si>
  <si>
    <t>185,0</t>
  </si>
  <si>
    <t>1. Половков Михаил</t>
  </si>
  <si>
    <t>Мастера 40 - 44 (08.10.1977)/41</t>
  </si>
  <si>
    <t>Булатников Роман</t>
  </si>
  <si>
    <t>1. Булатников Роман</t>
  </si>
  <si>
    <t>Мастера 45 - 49 (24.04.1970)/48</t>
  </si>
  <si>
    <t>112,7312</t>
  </si>
  <si>
    <t>107,4728</t>
  </si>
  <si>
    <t>105,4453</t>
  </si>
  <si>
    <t>103,4740</t>
  </si>
  <si>
    <t>99,8854</t>
  </si>
  <si>
    <t>98,7345</t>
  </si>
  <si>
    <t>95,7775</t>
  </si>
  <si>
    <t>86,0400</t>
  </si>
  <si>
    <t>83,6055</t>
  </si>
  <si>
    <t xml:space="preserve">Мастера 45 - 49 </t>
  </si>
  <si>
    <t>114,0694</t>
  </si>
  <si>
    <t>104,4053</t>
  </si>
  <si>
    <t>99,0307</t>
  </si>
  <si>
    <t>98,9413</t>
  </si>
  <si>
    <t>Чемпионат Содружества Независимых Государств
Любители жим лежа в софт экипировке
Курск/Курская область 30 - 31 марта 2019 г.</t>
  </si>
  <si>
    <t>Селезнев Александр</t>
  </si>
  <si>
    <t>Открытая (12.04.1986)/32</t>
  </si>
  <si>
    <t>86,50</t>
  </si>
  <si>
    <t xml:space="preserve">Ливны/Орловская область </t>
  </si>
  <si>
    <t>205,0</t>
  </si>
  <si>
    <t xml:space="preserve">Атминеев В.А. </t>
  </si>
  <si>
    <t>Калакуцкий Руслан</t>
  </si>
  <si>
    <t>Открытая (22.04.1979)/39</t>
  </si>
  <si>
    <t>98,00</t>
  </si>
  <si>
    <t xml:space="preserve">Викинги </t>
  </si>
  <si>
    <t>265,0</t>
  </si>
  <si>
    <t>275,0</t>
  </si>
  <si>
    <t xml:space="preserve">Карпачев М.П. </t>
  </si>
  <si>
    <t>Мастера 55 - 59 (11.11.1959)/59</t>
  </si>
  <si>
    <t>98,35</t>
  </si>
  <si>
    <t>Виноходов Сергей</t>
  </si>
  <si>
    <t>Открытая (17.09.1982)/36</t>
  </si>
  <si>
    <t>124,70</t>
  </si>
  <si>
    <t>300,0</t>
  </si>
  <si>
    <t>148,1615</t>
  </si>
  <si>
    <t>143,3850</t>
  </si>
  <si>
    <t>123,0000</t>
  </si>
  <si>
    <t>Чемпионат Содружества Независимых Государств
Любители становая тяга без экипировки
Курск/Курская область 30 - 31 марта 2019 г.</t>
  </si>
  <si>
    <t>Васильева Наталья</t>
  </si>
  <si>
    <t>1. Васильева Наталья</t>
  </si>
  <si>
    <t>Открытая (01.12.1979)/39</t>
  </si>
  <si>
    <t>57,90</t>
  </si>
  <si>
    <t>Зиновьева Татьяна</t>
  </si>
  <si>
    <t>1. Зиновьева Татьяна</t>
  </si>
  <si>
    <t>Мастера 45 - 49 (24.04.1971)/47</t>
  </si>
  <si>
    <t>58,60</t>
  </si>
  <si>
    <t>Ляхова Полина</t>
  </si>
  <si>
    <t>1. Ляхова Полина</t>
  </si>
  <si>
    <t>Открытая (22.06.1993)/25</t>
  </si>
  <si>
    <t>1. Даржай Шолбан</t>
  </si>
  <si>
    <t>Поляков Павел</t>
  </si>
  <si>
    <t>1. Поляков Павел</t>
  </si>
  <si>
    <t>Открытая (13.07.1993)/25</t>
  </si>
  <si>
    <t>80,80</t>
  </si>
  <si>
    <t>1. Лукьянчиков Владимир</t>
  </si>
  <si>
    <t>187,5</t>
  </si>
  <si>
    <t>Тихонов Андрей</t>
  </si>
  <si>
    <t>1. Тихонов Андрей</t>
  </si>
  <si>
    <t>Открытая (08.11.1980)/38</t>
  </si>
  <si>
    <t>108,25</t>
  </si>
  <si>
    <t>290,0</t>
  </si>
  <si>
    <t>325,0</t>
  </si>
  <si>
    <t>70,9560</t>
  </si>
  <si>
    <t>192,2369</t>
  </si>
  <si>
    <t>67,1258</t>
  </si>
  <si>
    <t>161,6100</t>
  </si>
  <si>
    <t>136,6770</t>
  </si>
  <si>
    <t>133,6230</t>
  </si>
  <si>
    <t>96,3450</t>
  </si>
  <si>
    <t>176,2515</t>
  </si>
  <si>
    <t>Чемпионат Содружества Независимых Государств
ПРО становая тяга без экипировки
Курск/Курская область 30 - 31 марта 2019 г.</t>
  </si>
  <si>
    <t>215,0</t>
  </si>
  <si>
    <t>156,7105</t>
  </si>
  <si>
    <t>Чемпионат Содружества Независимых Государств
СОВ присед
Курск/Курская область 30 - 31 марта 2019 г.</t>
  </si>
  <si>
    <t>Новиков Денис</t>
  </si>
  <si>
    <t>1. Новиков Денис</t>
  </si>
  <si>
    <t>Юниоры 20 - 23 (25.09.1997)/21</t>
  </si>
  <si>
    <t>82,15</t>
  </si>
  <si>
    <t xml:space="preserve">Немчинов А. </t>
  </si>
  <si>
    <t>120,3789</t>
  </si>
  <si>
    <t>78,6175</t>
  </si>
  <si>
    <t>Чемпионат Содружества Независимых Государств
Любители присед без экипировки
Курск/Курская область 30 - 31 марта 2019 г.</t>
  </si>
  <si>
    <t>80,7615</t>
  </si>
  <si>
    <t>117,0960</t>
  </si>
  <si>
    <t>Чемпионат Содружества Независимых Государств
Силовое двоеборье любители
Курск/Курская область 30 - 31 марта 2019 г.</t>
  </si>
  <si>
    <t>80,85</t>
  </si>
  <si>
    <t>102,5</t>
  </si>
  <si>
    <t>Обухов Игорь</t>
  </si>
  <si>
    <t>1. Обухов Игорь</t>
  </si>
  <si>
    <t>Открытая (07.11.1990)/28</t>
  </si>
  <si>
    <t>89,35</t>
  </si>
  <si>
    <t>225,0</t>
  </si>
  <si>
    <t>294,4906</t>
  </si>
  <si>
    <t>390,0</t>
  </si>
  <si>
    <t>229,2810</t>
  </si>
  <si>
    <t>204,1487</t>
  </si>
  <si>
    <t>Крузина А.А.</t>
  </si>
  <si>
    <t>Горенко А.В.</t>
  </si>
  <si>
    <t>Коробейников Д.Ю.</t>
  </si>
  <si>
    <t>Коробейников М.Ю.</t>
  </si>
  <si>
    <t>Перьков А.В.</t>
  </si>
  <si>
    <t>Иванов С.С.</t>
  </si>
  <si>
    <t>Чемпионат Содружества Независимых Государств
Пауэрспорт Профессионалы
Курск/Курская область марта 2019 г.</t>
  </si>
  <si>
    <t>Жим стоя</t>
  </si>
  <si>
    <t>Подъем на бицепс</t>
  </si>
  <si>
    <t>1. Трофимов Дмитрий</t>
  </si>
  <si>
    <t>Мастера 45 - 49 (18.02.1974)/45</t>
  </si>
  <si>
    <t>84,70</t>
  </si>
  <si>
    <t xml:space="preserve">Белгород/Белгородская область </t>
  </si>
  <si>
    <t>77,5</t>
  </si>
  <si>
    <t>55,0</t>
  </si>
  <si>
    <t>57,5</t>
  </si>
  <si>
    <t xml:space="preserve">Рядинский Д.Ю. </t>
  </si>
  <si>
    <t>Трофимов Дмитрий</t>
  </si>
  <si>
    <t>86,0623</t>
  </si>
  <si>
    <t>Чемпионат Содружества Независимых Государств
Пауэрспорт Любители
Курск/Курская область марта 2019 г.</t>
  </si>
  <si>
    <t>1. Прокофьев Станислав</t>
  </si>
  <si>
    <t>Открытая (17.02.1989)/30</t>
  </si>
  <si>
    <t>89,70</t>
  </si>
  <si>
    <t>72,5</t>
  </si>
  <si>
    <t>Прокофьев Станислав</t>
  </si>
  <si>
    <t>90,9075</t>
  </si>
  <si>
    <t>Чемпионат Содружества Независимых Государств
Одиночный подъём штанги на бицепс Любители
Курск/Курская область марта 2019 г.</t>
  </si>
  <si>
    <t>2. Обухов Игорь</t>
  </si>
  <si>
    <t>60,0</t>
  </si>
  <si>
    <t>3. Дегтярев Дмитрий</t>
  </si>
  <si>
    <t xml:space="preserve">Крузина А. </t>
  </si>
  <si>
    <t>2. Перунов Дмитрий</t>
  </si>
  <si>
    <t>Открытая (04.04.1994)/24</t>
  </si>
  <si>
    <t>97,00</t>
  </si>
  <si>
    <t>67,5</t>
  </si>
  <si>
    <t>1. Меркулов Виталий</t>
  </si>
  <si>
    <t>Открытая (11.06.1990)/28</t>
  </si>
  <si>
    <t>108,75</t>
  </si>
  <si>
    <t>45,4537</t>
  </si>
  <si>
    <t>44,2680</t>
  </si>
  <si>
    <t>41,1530</t>
  </si>
  <si>
    <t>Меркулов Виталий</t>
  </si>
  <si>
    <t>40,3537</t>
  </si>
  <si>
    <t>Перунов Дмитрий</t>
  </si>
  <si>
    <t>39,3330</t>
  </si>
  <si>
    <t>32,8790</t>
  </si>
  <si>
    <t>Чемпионат Содружества Независимых Государств
Одиночный жим штанги стоя Любители
Курск/Курская область марта 2019 г.</t>
  </si>
  <si>
    <t>40,8206</t>
  </si>
  <si>
    <t>Чемпионат Содружества Независимых Государств
Русский жим любители 100 кг.
Курск/Курская область 30 - 31 марта 2019 г.</t>
  </si>
  <si>
    <t>Атлетизм</t>
  </si>
  <si>
    <t>Жим мн. повт.</t>
  </si>
  <si>
    <t>Тоннаж</t>
  </si>
  <si>
    <t>Вес</t>
  </si>
  <si>
    <t>Повторы</t>
  </si>
  <si>
    <t>ВЕСОВАЯ КАТЕГОРИЯ   All</t>
  </si>
  <si>
    <t>22,0</t>
  </si>
  <si>
    <t>2. Яцевило Алексей</t>
  </si>
  <si>
    <t>18,0</t>
  </si>
  <si>
    <t>3. Михеев Максим</t>
  </si>
  <si>
    <t xml:space="preserve">Атлетизм </t>
  </si>
  <si>
    <t>All</t>
  </si>
  <si>
    <t>2200,0</t>
  </si>
  <si>
    <t>25,0712</t>
  </si>
  <si>
    <t>1800,0</t>
  </si>
  <si>
    <t>16,8460</t>
  </si>
  <si>
    <t>Михеев Максим</t>
  </si>
  <si>
    <t>15,5844</t>
  </si>
  <si>
    <t>Чемпионат Содружества Независимых Государств
Русский жим любители 55 кг.
Курск/Курская область 30 - 31 марта 2019 г.</t>
  </si>
  <si>
    <t>1. Останков Сергей</t>
  </si>
  <si>
    <t>Открытая (11.02.1992)/27</t>
  </si>
  <si>
    <t>92,55</t>
  </si>
  <si>
    <t>99,0</t>
  </si>
  <si>
    <t>2. Вершков Олег</t>
  </si>
  <si>
    <t>Открытая (19.05.1981)/37</t>
  </si>
  <si>
    <t>89,15</t>
  </si>
  <si>
    <t>92,0</t>
  </si>
  <si>
    <t>3. Игнатов Сергей</t>
  </si>
  <si>
    <t>Открытая (26.01.1983)/36</t>
  </si>
  <si>
    <t>87,55</t>
  </si>
  <si>
    <t>78,0</t>
  </si>
  <si>
    <t>4. Щёлоков Алексей</t>
  </si>
  <si>
    <t>Открытая (27.05.1992)/26</t>
  </si>
  <si>
    <t>100,60</t>
  </si>
  <si>
    <t>72,0</t>
  </si>
  <si>
    <t>5. Доронин Эдуард</t>
  </si>
  <si>
    <t>Открытая (17.12.1979)/39</t>
  </si>
  <si>
    <t>93,75</t>
  </si>
  <si>
    <t xml:space="preserve">Губкин/Белгородская область </t>
  </si>
  <si>
    <t>56,0</t>
  </si>
  <si>
    <t>Останков Сергей</t>
  </si>
  <si>
    <t>5445,0</t>
  </si>
  <si>
    <t>58,8330</t>
  </si>
  <si>
    <t>Вершков Олег</t>
  </si>
  <si>
    <t>5060,0</t>
  </si>
  <si>
    <t>56,7582</t>
  </si>
  <si>
    <t>Игнатов Сергей</t>
  </si>
  <si>
    <t>4290,0</t>
  </si>
  <si>
    <t>49,0005</t>
  </si>
  <si>
    <t>Щёлоков Алексей</t>
  </si>
  <si>
    <t>3960,0</t>
  </si>
  <si>
    <t>39,3638</t>
  </si>
  <si>
    <t>Доронин Эдуард</t>
  </si>
  <si>
    <t>3080,0</t>
  </si>
  <si>
    <t>32,8533</t>
  </si>
  <si>
    <t>Чемпионат Содружества Независимых Государств
Русский жим профессионалы 100 кг.
Курск/Курская область 30 - 31 марта 2019 г.</t>
  </si>
  <si>
    <t>1. Огневой Николай</t>
  </si>
  <si>
    <t>Открытая (06.04.1981)/37</t>
  </si>
  <si>
    <t>80,95</t>
  </si>
  <si>
    <t>27,0</t>
  </si>
  <si>
    <t>Огневой Николай</t>
  </si>
  <si>
    <t>2700,0</t>
  </si>
  <si>
    <t>33,3539</t>
  </si>
  <si>
    <t>Чемпионат Содружества Независимых Государств
Русский жим профессионалы 75 кг.
Курск/Курская область 30 - 31 марта 2019 г.</t>
  </si>
  <si>
    <t>1. Клюев Игорь</t>
  </si>
  <si>
    <t>Открытая (04.04.1989)/29</t>
  </si>
  <si>
    <t>92,10</t>
  </si>
  <si>
    <t>59,0</t>
  </si>
  <si>
    <t>1. Киян Андрей</t>
  </si>
  <si>
    <t>Мастера 40 - 44 (17.06.1974)/44</t>
  </si>
  <si>
    <t>95,40</t>
  </si>
  <si>
    <t xml:space="preserve">Алекс Фитнес </t>
  </si>
  <si>
    <t>46,0</t>
  </si>
  <si>
    <t xml:space="preserve">Голованов А. </t>
  </si>
  <si>
    <t>Клюев Игорь</t>
  </si>
  <si>
    <t>4425,0</t>
  </si>
  <si>
    <t>48,0456</t>
  </si>
  <si>
    <t>Киян Андрей</t>
  </si>
  <si>
    <t>3450,0</t>
  </si>
  <si>
    <t>36,1635</t>
  </si>
  <si>
    <t>Чемпионат Содружества Независимых Государств
Русский жим профессионалы 55 кг.
Курск/Курская область 30 - 31 марта 2019 г.</t>
  </si>
  <si>
    <t>1. Найденов Андрей</t>
  </si>
  <si>
    <t>Открытая (14.03.1981)/38</t>
  </si>
  <si>
    <t>84,10</t>
  </si>
  <si>
    <t>315,0</t>
  </si>
  <si>
    <t>Найденов Андрей</t>
  </si>
  <si>
    <t>17325,0</t>
  </si>
  <si>
    <t>206,0047</t>
  </si>
  <si>
    <t>Чемпионат Содружества Независимых Государств
Профессионалы народный жим (1 вес)
Курск/Курская область 30 - 31 марта 2019 г.</t>
  </si>
  <si>
    <t>НАП Н.Ж.</t>
  </si>
  <si>
    <t>92,5</t>
  </si>
  <si>
    <t>36,0</t>
  </si>
  <si>
    <t>1. Маркелов Юрий</t>
  </si>
  <si>
    <t>17,0</t>
  </si>
  <si>
    <t xml:space="preserve">НАП Н.Ж. </t>
  </si>
  <si>
    <t>3330,0</t>
  </si>
  <si>
    <t>2392,9379</t>
  </si>
  <si>
    <t>1870,0</t>
  </si>
  <si>
    <t>1209,1420</t>
  </si>
  <si>
    <t>Чемпионат Содружества Независимых Государств
Любители народный жим (1 вес)
Курск/Курская область 30 - 31 марта 2019 г.</t>
  </si>
  <si>
    <t>1. Горбунов Виктор</t>
  </si>
  <si>
    <t>Открытая (24.06.1984)/34</t>
  </si>
  <si>
    <t>80,00</t>
  </si>
  <si>
    <t>2. Глазов Константин</t>
  </si>
  <si>
    <t>25,0</t>
  </si>
  <si>
    <t>1. Криштапов Иван</t>
  </si>
  <si>
    <t>91,70</t>
  </si>
  <si>
    <t>2. Шевченко Александр</t>
  </si>
  <si>
    <t>20,0</t>
  </si>
  <si>
    <t>Горбунов Виктор</t>
  </si>
  <si>
    <t>3680,0</t>
  </si>
  <si>
    <t>2870,3999</t>
  </si>
  <si>
    <t>Глазов Константин</t>
  </si>
  <si>
    <t>2062,5</t>
  </si>
  <si>
    <t>1564,8188</t>
  </si>
  <si>
    <t>Криштапов Иван</t>
  </si>
  <si>
    <t>2035,0</t>
  </si>
  <si>
    <t>1468,6595</t>
  </si>
  <si>
    <t>1900,0</t>
  </si>
  <si>
    <t>1338,3600</t>
  </si>
  <si>
    <t>Чемпионат Содружества Независимых Государств
Тяговое двоеборье Профессионалы
Курск/Курская область марта 2019 г.</t>
  </si>
  <si>
    <t>Чемпионат Содружества Независимых Государств
Жимовое двоеборье Профессионалы
Курск/Курская область марта 2019 г.</t>
  </si>
  <si>
    <t>Открытая (06.04.1981)/38</t>
  </si>
  <si>
    <t>1,3626</t>
  </si>
  <si>
    <t>79,30</t>
  </si>
  <si>
    <t>Жим лежа</t>
  </si>
  <si>
    <t>145</t>
  </si>
  <si>
    <t>80</t>
  </si>
  <si>
    <t>43</t>
  </si>
  <si>
    <t>Локтионова И.</t>
  </si>
  <si>
    <t>Открытая (04.04.1989)/30</t>
  </si>
  <si>
    <t>150</t>
  </si>
  <si>
    <t>85</t>
  </si>
  <si>
    <t>35</t>
  </si>
  <si>
    <t>Чемпионат Содружества Независимых Государств
Жимовое двоеборье Любители
Курск/Курская область марта 2019 г.</t>
  </si>
  <si>
    <t>185</t>
  </si>
  <si>
    <t>188</t>
  </si>
  <si>
    <t>Открытая (28.11.1980)/39</t>
  </si>
  <si>
    <t>85,5</t>
  </si>
  <si>
    <t>22</t>
  </si>
  <si>
    <t>164,5</t>
  </si>
  <si>
    <t>82,00</t>
  </si>
  <si>
    <t>1. Немчинов Александр</t>
  </si>
  <si>
    <t>89,3</t>
  </si>
  <si>
    <t>2887,5</t>
  </si>
  <si>
    <t>Чемпионат Содружества Независимых Государств
Профессионалы Русская тяга
Курск/Курская область 30 - 31 марта 2019 г.</t>
  </si>
  <si>
    <t>1. Безуглов Артем</t>
  </si>
  <si>
    <t>West Gum</t>
  </si>
  <si>
    <t>4600,0</t>
  </si>
  <si>
    <t>Чемпионат Содружества Независимых Государств
Любители Народная тяга
Курск/Курская область 30 - 31 марта 2019 г.</t>
  </si>
  <si>
    <t>57,1</t>
  </si>
  <si>
    <t>1725,0</t>
  </si>
  <si>
    <t>Академия силы</t>
  </si>
  <si>
    <t>Росгвардия</t>
  </si>
  <si>
    <t>Косинов О.</t>
  </si>
  <si>
    <t>Меркулов В.</t>
  </si>
  <si>
    <t>1. Виноходов Сергей (3 слоя)</t>
  </si>
  <si>
    <t>1. Калакуцкий Руслан (3 слоя)</t>
  </si>
  <si>
    <t>1. Селезнев Александр (2 слоя)</t>
  </si>
  <si>
    <t>-. Карпачев Михаил (2 слоя)</t>
  </si>
  <si>
    <t>Чемпионат Содружества Независимых Государств
СОВ Русская тяга
Курск/Курская область 30 - 31 марта 2019 г.</t>
  </si>
  <si>
    <t>200</t>
  </si>
  <si>
    <t>215</t>
  </si>
  <si>
    <t>Становая тяга "сумо"</t>
  </si>
  <si>
    <t>Становая тяга "Классика"</t>
  </si>
  <si>
    <t>230</t>
  </si>
  <si>
    <t>460</t>
  </si>
  <si>
    <t>140</t>
  </si>
  <si>
    <t>247,5</t>
  </si>
  <si>
    <t xml:space="preserve">West Gym  </t>
  </si>
  <si>
    <t>ВЕСОВАЯ КАТЕГОРИЯ  100</t>
  </si>
  <si>
    <t>Мастера 64-69 (10.11.1951)/68</t>
  </si>
  <si>
    <t>Открытая (02.08.1968)/32</t>
  </si>
  <si>
    <t>46</t>
  </si>
  <si>
    <t>Сиший Илья</t>
  </si>
  <si>
    <t>Анпилогов Роман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</si>
</sst>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11" xfId="0" applyNumberForma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0" fillId="0" borderId="13" xfId="0" applyNumberFormat="1" applyBorder="1" applyAlignment="1">
      <alignment horizontal="center"/>
    </xf>
    <xf numFmtId="49" fontId="8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 indent="1"/>
    </xf>
    <xf numFmtId="49" fontId="9" fillId="0" borderId="0" xfId="0" applyNumberFormat="1" applyFont="1" applyAlignment="1">
      <alignment horizontal="left" indent="1"/>
    </xf>
    <xf numFmtId="49" fontId="9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0" fillId="0" borderId="14" xfId="0" applyNumberForma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9" fillId="0" borderId="0" xfId="0" applyNumberFormat="1" applyFont="1" applyBorder="1" applyAlignment="1">
      <alignment horizontal="left" indent="1"/>
    </xf>
    <xf numFmtId="49" fontId="9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indent="1"/>
    </xf>
    <xf numFmtId="49" fontId="2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14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6" sqref="A16:E34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22.75390625" style="5" bestFit="1" customWidth="1"/>
    <col min="5" max="5" width="24.125" style="5" bestFit="1" customWidth="1"/>
    <col min="6" max="6" width="10.00390625" style="4" customWidth="1"/>
    <col min="7" max="7" width="10.75390625" style="32" customWidth="1"/>
    <col min="8" max="8" width="7.875" style="5" bestFit="1" customWidth="1"/>
    <col min="9" max="9" width="9.625" style="4" bestFit="1" customWidth="1"/>
    <col min="10" max="10" width="11.875" style="5" bestFit="1" customWidth="1"/>
    <col min="11" max="16384" width="9.125" style="4" customWidth="1"/>
  </cols>
  <sheetData>
    <row r="1" spans="1:10" s="3" customFormat="1" ht="28.5" customHeight="1">
      <c r="A1" s="60" t="s">
        <v>686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s="3" customFormat="1" ht="75.75" customHeight="1" thickBot="1">
      <c r="A2" s="63"/>
      <c r="B2" s="64"/>
      <c r="C2" s="64"/>
      <c r="D2" s="64"/>
      <c r="E2" s="64"/>
      <c r="F2" s="64"/>
      <c r="G2" s="64"/>
      <c r="H2" s="64"/>
      <c r="I2" s="64"/>
      <c r="J2" s="65"/>
    </row>
    <row r="3" spans="1:10" s="1" customFormat="1" ht="15">
      <c r="A3" s="66" t="s">
        <v>0</v>
      </c>
      <c r="B3" s="68" t="s">
        <v>6</v>
      </c>
      <c r="C3" s="68" t="s">
        <v>7</v>
      </c>
      <c r="D3" s="70" t="s">
        <v>4</v>
      </c>
      <c r="E3" s="70" t="s">
        <v>8</v>
      </c>
      <c r="F3" s="70" t="s">
        <v>538</v>
      </c>
      <c r="G3" s="70"/>
      <c r="H3" s="70" t="s">
        <v>539</v>
      </c>
      <c r="I3" s="70" t="s">
        <v>3</v>
      </c>
      <c r="J3" s="57" t="s">
        <v>2</v>
      </c>
    </row>
    <row r="4" spans="1:10" s="1" customFormat="1" ht="15.75" thickBot="1">
      <c r="A4" s="67"/>
      <c r="B4" s="69"/>
      <c r="C4" s="69"/>
      <c r="D4" s="69"/>
      <c r="E4" s="69"/>
      <c r="F4" s="2" t="s">
        <v>540</v>
      </c>
      <c r="G4" s="31" t="s">
        <v>541</v>
      </c>
      <c r="H4" s="69"/>
      <c r="I4" s="69"/>
      <c r="J4" s="58"/>
    </row>
    <row r="5" spans="1:9" ht="15">
      <c r="A5" s="59" t="s">
        <v>14</v>
      </c>
      <c r="B5" s="59"/>
      <c r="C5" s="59"/>
      <c r="D5" s="59"/>
      <c r="E5" s="59"/>
      <c r="F5" s="59"/>
      <c r="G5" s="59"/>
      <c r="H5" s="59"/>
      <c r="I5" s="59"/>
    </row>
    <row r="6" spans="1:10" ht="12.75">
      <c r="A6" s="6" t="s">
        <v>439</v>
      </c>
      <c r="B6" s="6" t="s">
        <v>440</v>
      </c>
      <c r="C6" s="6" t="s">
        <v>687</v>
      </c>
      <c r="D6" s="6" t="s">
        <v>689</v>
      </c>
      <c r="E6" s="6" t="s">
        <v>20</v>
      </c>
      <c r="F6" s="8" t="s">
        <v>503</v>
      </c>
      <c r="G6" s="33">
        <v>30</v>
      </c>
      <c r="H6" s="6" t="s">
        <v>688</v>
      </c>
      <c r="I6" s="8"/>
      <c r="J6" s="6" t="s">
        <v>692</v>
      </c>
    </row>
    <row r="8" spans="4:5" ht="12.75">
      <c r="D8" s="42" t="s">
        <v>76</v>
      </c>
      <c r="E8" s="5" t="s">
        <v>488</v>
      </c>
    </row>
    <row r="9" spans="4:5" ht="12.75">
      <c r="D9" s="42" t="s">
        <v>77</v>
      </c>
      <c r="E9" s="5" t="s">
        <v>489</v>
      </c>
    </row>
    <row r="10" spans="4:5" ht="12.75">
      <c r="D10" s="42" t="s">
        <v>78</v>
      </c>
      <c r="E10" s="5" t="s">
        <v>490</v>
      </c>
    </row>
    <row r="11" spans="4:5" ht="12.75">
      <c r="D11" s="42" t="s">
        <v>79</v>
      </c>
      <c r="E11" s="5" t="s">
        <v>491</v>
      </c>
    </row>
    <row r="12" spans="4:5" ht="12.75">
      <c r="D12" s="42" t="s">
        <v>79</v>
      </c>
      <c r="E12" s="5" t="s">
        <v>492</v>
      </c>
    </row>
    <row r="13" spans="4:5" ht="12.75">
      <c r="D13" s="42" t="s">
        <v>80</v>
      </c>
      <c r="E13" s="5" t="s">
        <v>493</v>
      </c>
    </row>
    <row r="14" ht="15">
      <c r="D14" s="14"/>
    </row>
    <row r="16" spans="1:5" ht="18">
      <c r="A16" s="49"/>
      <c r="B16" s="49"/>
      <c r="C16" s="45"/>
      <c r="D16" s="45"/>
      <c r="E16" s="45"/>
    </row>
    <row r="17" spans="1:5" ht="15">
      <c r="A17" s="50"/>
      <c r="B17" s="50"/>
      <c r="C17" s="45"/>
      <c r="D17" s="45"/>
      <c r="E17" s="45"/>
    </row>
    <row r="18" spans="1:5" ht="14.25">
      <c r="A18" s="43"/>
      <c r="B18" s="44"/>
      <c r="C18" s="45"/>
      <c r="D18" s="45"/>
      <c r="E18" s="45"/>
    </row>
    <row r="19" spans="1:5" ht="15">
      <c r="A19" s="46"/>
      <c r="B19" s="46"/>
      <c r="C19" s="46"/>
      <c r="D19" s="46"/>
      <c r="E19" s="45"/>
    </row>
    <row r="20" spans="1:5" ht="12.75">
      <c r="A20" s="47"/>
      <c r="B20" s="45"/>
      <c r="C20" s="45"/>
      <c r="D20" s="48"/>
      <c r="E20" s="45"/>
    </row>
    <row r="21" spans="1:5" ht="12.75">
      <c r="A21" s="47"/>
      <c r="B21" s="45"/>
      <c r="C21" s="45"/>
      <c r="D21" s="48"/>
      <c r="E21" s="45"/>
    </row>
    <row r="22" spans="1:5" ht="12.75">
      <c r="A22" s="45"/>
      <c r="B22" s="45"/>
      <c r="C22" s="45"/>
      <c r="D22" s="45"/>
      <c r="E22" s="45"/>
    </row>
    <row r="23" spans="1:5" ht="12.75">
      <c r="A23" s="45"/>
      <c r="B23" s="45"/>
      <c r="C23" s="45"/>
      <c r="D23" s="45"/>
      <c r="E23" s="45"/>
    </row>
    <row r="24" spans="1:5" ht="12.75">
      <c r="A24" s="45"/>
      <c r="B24" s="45"/>
      <c r="C24" s="45"/>
      <c r="D24" s="45"/>
      <c r="E24" s="45"/>
    </row>
    <row r="25" spans="1:5" ht="12.75">
      <c r="A25" s="45"/>
      <c r="B25" s="45"/>
      <c r="C25" s="45"/>
      <c r="D25" s="45"/>
      <c r="E25" s="45"/>
    </row>
    <row r="26" spans="1:5" ht="12.75">
      <c r="A26" s="45"/>
      <c r="B26" s="45"/>
      <c r="C26" s="45"/>
      <c r="D26" s="45"/>
      <c r="E26" s="45"/>
    </row>
    <row r="27" spans="1:5" ht="12.75">
      <c r="A27" s="45"/>
      <c r="B27" s="45"/>
      <c r="C27" s="45"/>
      <c r="D27" s="45"/>
      <c r="E27" s="45"/>
    </row>
    <row r="28" spans="1:5" ht="12.75">
      <c r="A28" s="45"/>
      <c r="B28" s="45"/>
      <c r="C28" s="45"/>
      <c r="D28" s="45"/>
      <c r="E28" s="45"/>
    </row>
    <row r="29" spans="1:5" ht="12.75">
      <c r="A29" s="45"/>
      <c r="B29" s="45"/>
      <c r="C29" s="45"/>
      <c r="D29" s="45"/>
      <c r="E29" s="45"/>
    </row>
    <row r="30" spans="1:5" ht="12.75">
      <c r="A30" s="45"/>
      <c r="B30" s="45"/>
      <c r="C30" s="45"/>
      <c r="D30" s="45"/>
      <c r="E30" s="45"/>
    </row>
    <row r="31" spans="1:5" ht="12.75">
      <c r="A31" s="45"/>
      <c r="B31" s="45"/>
      <c r="C31" s="45"/>
      <c r="D31" s="45"/>
      <c r="E31" s="45"/>
    </row>
    <row r="32" spans="1:5" ht="12.75">
      <c r="A32" s="45"/>
      <c r="B32" s="45"/>
      <c r="C32" s="45"/>
      <c r="D32" s="45"/>
      <c r="E32" s="45"/>
    </row>
    <row r="33" spans="1:5" ht="12.75">
      <c r="A33" s="45"/>
      <c r="B33" s="45"/>
      <c r="C33" s="45"/>
      <c r="D33" s="45"/>
      <c r="E33" s="45"/>
    </row>
    <row r="34" spans="1:5" ht="12.75">
      <c r="A34" s="45"/>
      <c r="B34" s="45"/>
      <c r="C34" s="45"/>
      <c r="D34" s="45"/>
      <c r="E34" s="45"/>
    </row>
  </sheetData>
  <sheetProtection/>
  <mergeCells count="11">
    <mergeCell ref="J3:J4"/>
    <mergeCell ref="A5:I5"/>
    <mergeCell ref="A1:J2"/>
    <mergeCell ref="A3:A4"/>
    <mergeCell ref="B3:B4"/>
    <mergeCell ref="C3:C4"/>
    <mergeCell ref="D3:D4"/>
    <mergeCell ref="E3:E4"/>
    <mergeCell ref="F3:G3"/>
    <mergeCell ref="H3:H4"/>
    <mergeCell ref="I3:I4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4" width="10.625" style="5" bestFit="1" customWidth="1"/>
    <col min="5" max="5" width="22.75390625" style="5" bestFit="1" customWidth="1"/>
    <col min="6" max="6" width="27.875" style="5" bestFit="1" customWidth="1"/>
    <col min="7" max="7" width="5.00390625" style="4" bestFit="1" customWidth="1"/>
    <col min="8" max="8" width="10.375" style="32" bestFit="1" customWidth="1"/>
    <col min="9" max="9" width="7.875" style="5" bestFit="1" customWidth="1"/>
    <col min="10" max="10" width="7.625" style="4" bestFit="1" customWidth="1"/>
    <col min="11" max="11" width="13.25390625" style="5" bestFit="1" customWidth="1"/>
    <col min="12" max="16384" width="9.125" style="4" customWidth="1"/>
  </cols>
  <sheetData>
    <row r="1" spans="1:11" s="3" customFormat="1" ht="28.5" customHeight="1">
      <c r="A1" s="60" t="s">
        <v>555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3" customFormat="1" ht="30.7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s="1" customFormat="1" ht="15">
      <c r="A3" s="66" t="s">
        <v>0</v>
      </c>
      <c r="B3" s="68" t="s">
        <v>6</v>
      </c>
      <c r="C3" s="68" t="s">
        <v>7</v>
      </c>
      <c r="D3" s="70" t="s">
        <v>537</v>
      </c>
      <c r="E3" s="70" t="s">
        <v>4</v>
      </c>
      <c r="F3" s="70" t="s">
        <v>8</v>
      </c>
      <c r="G3" s="70" t="s">
        <v>538</v>
      </c>
      <c r="H3" s="70"/>
      <c r="I3" s="70" t="s">
        <v>539</v>
      </c>
      <c r="J3" s="70" t="s">
        <v>3</v>
      </c>
      <c r="K3" s="57" t="s">
        <v>2</v>
      </c>
    </row>
    <row r="4" spans="1:11" s="1" customFormat="1" ht="15.75" thickBot="1">
      <c r="A4" s="67"/>
      <c r="B4" s="69"/>
      <c r="C4" s="69"/>
      <c r="D4" s="69"/>
      <c r="E4" s="69"/>
      <c r="F4" s="69"/>
      <c r="G4" s="2" t="s">
        <v>540</v>
      </c>
      <c r="H4" s="31" t="s">
        <v>541</v>
      </c>
      <c r="I4" s="69"/>
      <c r="J4" s="69"/>
      <c r="K4" s="58"/>
    </row>
    <row r="5" spans="1:10" ht="15">
      <c r="A5" s="59" t="s">
        <v>542</v>
      </c>
      <c r="B5" s="59"/>
      <c r="C5" s="59"/>
      <c r="D5" s="59"/>
      <c r="E5" s="59"/>
      <c r="F5" s="59"/>
      <c r="G5" s="59"/>
      <c r="H5" s="59"/>
      <c r="I5" s="59"/>
      <c r="J5" s="59"/>
    </row>
    <row r="6" spans="1:11" ht="12.75">
      <c r="A6" s="9" t="s">
        <v>556</v>
      </c>
      <c r="B6" s="9" t="s">
        <v>557</v>
      </c>
      <c r="C6" s="9" t="s">
        <v>558</v>
      </c>
      <c r="D6" s="9" t="str">
        <f>"1,0000"</f>
        <v>1,0000</v>
      </c>
      <c r="E6" s="9" t="s">
        <v>220</v>
      </c>
      <c r="F6" s="9" t="s">
        <v>34</v>
      </c>
      <c r="G6" s="10" t="s">
        <v>502</v>
      </c>
      <c r="H6" s="34" t="s">
        <v>559</v>
      </c>
      <c r="I6" s="9" t="str">
        <f>"5445,0"</f>
        <v>5445,0</v>
      </c>
      <c r="J6" s="10" t="str">
        <f>"58,8330"</f>
        <v>58,8330</v>
      </c>
      <c r="K6" s="9" t="s">
        <v>257</v>
      </c>
    </row>
    <row r="7" spans="1:11" ht="12.75">
      <c r="A7" s="23" t="s">
        <v>560</v>
      </c>
      <c r="B7" s="23" t="s">
        <v>561</v>
      </c>
      <c r="C7" s="23" t="s">
        <v>562</v>
      </c>
      <c r="D7" s="23" t="str">
        <f>"1,0000"</f>
        <v>1,0000</v>
      </c>
      <c r="E7" s="23" t="s">
        <v>220</v>
      </c>
      <c r="F7" s="23" t="s">
        <v>34</v>
      </c>
      <c r="G7" s="25" t="s">
        <v>502</v>
      </c>
      <c r="H7" s="38" t="s">
        <v>563</v>
      </c>
      <c r="I7" s="23" t="str">
        <f>"5060,0"</f>
        <v>5060,0</v>
      </c>
      <c r="J7" s="25" t="str">
        <f>"56,7582"</f>
        <v>56,7582</v>
      </c>
      <c r="K7" s="23" t="s">
        <v>57</v>
      </c>
    </row>
    <row r="8" spans="1:11" ht="12.75">
      <c r="A8" s="23" t="s">
        <v>564</v>
      </c>
      <c r="B8" s="23" t="s">
        <v>565</v>
      </c>
      <c r="C8" s="23" t="s">
        <v>566</v>
      </c>
      <c r="D8" s="23" t="str">
        <f>"1,0000"</f>
        <v>1,0000</v>
      </c>
      <c r="E8" s="23" t="s">
        <v>220</v>
      </c>
      <c r="F8" s="23" t="s">
        <v>20</v>
      </c>
      <c r="G8" s="25" t="s">
        <v>502</v>
      </c>
      <c r="H8" s="38" t="s">
        <v>567</v>
      </c>
      <c r="I8" s="23" t="str">
        <f>"4290,0"</f>
        <v>4290,0</v>
      </c>
      <c r="J8" s="25" t="str">
        <f>"49,0005"</f>
        <v>49,0005</v>
      </c>
      <c r="K8" s="23" t="s">
        <v>257</v>
      </c>
    </row>
    <row r="9" spans="1:11" ht="12.75">
      <c r="A9" s="23" t="s">
        <v>568</v>
      </c>
      <c r="B9" s="23" t="s">
        <v>569</v>
      </c>
      <c r="C9" s="23" t="s">
        <v>570</v>
      </c>
      <c r="D9" s="23" t="str">
        <f>"1,0000"</f>
        <v>1,0000</v>
      </c>
      <c r="E9" s="23" t="s">
        <v>220</v>
      </c>
      <c r="F9" s="23" t="s">
        <v>34</v>
      </c>
      <c r="G9" s="25" t="s">
        <v>502</v>
      </c>
      <c r="H9" s="38" t="s">
        <v>571</v>
      </c>
      <c r="I9" s="23" t="str">
        <f>"3960,0"</f>
        <v>3960,0</v>
      </c>
      <c r="J9" s="25" t="str">
        <f>"39,3638"</f>
        <v>39,3638</v>
      </c>
      <c r="K9" s="23" t="s">
        <v>257</v>
      </c>
    </row>
    <row r="10" spans="1:11" ht="12.75">
      <c r="A10" s="12" t="s">
        <v>572</v>
      </c>
      <c r="B10" s="12" t="s">
        <v>573</v>
      </c>
      <c r="C10" s="12" t="s">
        <v>574</v>
      </c>
      <c r="D10" s="12" t="str">
        <f>"1,0000"</f>
        <v>1,0000</v>
      </c>
      <c r="E10" s="12" t="s">
        <v>33</v>
      </c>
      <c r="F10" s="12" t="s">
        <v>575</v>
      </c>
      <c r="G10" s="15" t="s">
        <v>502</v>
      </c>
      <c r="H10" s="35" t="s">
        <v>576</v>
      </c>
      <c r="I10" s="12" t="str">
        <f>"3080,0"</f>
        <v>3080,0</v>
      </c>
      <c r="J10" s="15" t="str">
        <f>"32,8533"</f>
        <v>32,8533</v>
      </c>
      <c r="K10" s="12" t="s">
        <v>57</v>
      </c>
    </row>
    <row r="12" spans="5:6" ht="12.75">
      <c r="E12" s="42" t="s">
        <v>76</v>
      </c>
      <c r="F12" s="5" t="s">
        <v>488</v>
      </c>
    </row>
    <row r="13" spans="5:6" ht="12.75">
      <c r="E13" s="42" t="s">
        <v>77</v>
      </c>
      <c r="F13" s="5" t="s">
        <v>489</v>
      </c>
    </row>
    <row r="14" spans="5:6" ht="12.75">
      <c r="E14" s="42" t="s">
        <v>78</v>
      </c>
      <c r="F14" s="5" t="s">
        <v>490</v>
      </c>
    </row>
    <row r="15" spans="5:6" ht="12.75">
      <c r="E15" s="42" t="s">
        <v>79</v>
      </c>
      <c r="F15" s="5" t="s">
        <v>491</v>
      </c>
    </row>
    <row r="16" spans="5:6" ht="12.75">
      <c r="E16" s="42" t="s">
        <v>79</v>
      </c>
      <c r="F16" s="5" t="s">
        <v>492</v>
      </c>
    </row>
    <row r="17" spans="5:6" ht="12.75">
      <c r="E17" s="42" t="s">
        <v>80</v>
      </c>
      <c r="F17" s="5" t="s">
        <v>493</v>
      </c>
    </row>
    <row r="18" ht="12.75">
      <c r="E18" s="42"/>
    </row>
    <row r="20" spans="1:2" ht="18">
      <c r="A20" s="16" t="s">
        <v>81</v>
      </c>
      <c r="B20" s="16"/>
    </row>
    <row r="21" spans="1:2" ht="15">
      <c r="A21" s="17" t="s">
        <v>95</v>
      </c>
      <c r="B21" s="17"/>
    </row>
    <row r="22" spans="1:2" ht="14.25">
      <c r="A22" s="19"/>
      <c r="B22" s="20" t="s">
        <v>83</v>
      </c>
    </row>
    <row r="23" spans="1:5" ht="15">
      <c r="A23" s="21" t="s">
        <v>84</v>
      </c>
      <c r="B23" s="21" t="s">
        <v>85</v>
      </c>
      <c r="C23" s="21" t="s">
        <v>86</v>
      </c>
      <c r="D23" s="21" t="s">
        <v>87</v>
      </c>
      <c r="E23" s="21" t="s">
        <v>547</v>
      </c>
    </row>
    <row r="24" spans="1:5" ht="12.75">
      <c r="A24" s="18" t="s">
        <v>577</v>
      </c>
      <c r="B24" s="5" t="s">
        <v>83</v>
      </c>
      <c r="C24" s="5" t="s">
        <v>548</v>
      </c>
      <c r="D24" s="5" t="s">
        <v>578</v>
      </c>
      <c r="E24" s="22" t="s">
        <v>579</v>
      </c>
    </row>
    <row r="25" spans="1:5" ht="12.75">
      <c r="A25" s="18" t="s">
        <v>580</v>
      </c>
      <c r="B25" s="5" t="s">
        <v>83</v>
      </c>
      <c r="C25" s="5" t="s">
        <v>548</v>
      </c>
      <c r="D25" s="5" t="s">
        <v>581</v>
      </c>
      <c r="E25" s="22" t="s">
        <v>582</v>
      </c>
    </row>
    <row r="26" spans="1:5" ht="12.75">
      <c r="A26" s="18" t="s">
        <v>583</v>
      </c>
      <c r="B26" s="5" t="s">
        <v>83</v>
      </c>
      <c r="C26" s="5" t="s">
        <v>548</v>
      </c>
      <c r="D26" s="5" t="s">
        <v>584</v>
      </c>
      <c r="E26" s="22" t="s">
        <v>585</v>
      </c>
    </row>
    <row r="27" spans="1:5" ht="12.75">
      <c r="A27" s="18" t="s">
        <v>586</v>
      </c>
      <c r="B27" s="5" t="s">
        <v>83</v>
      </c>
      <c r="C27" s="5" t="s">
        <v>548</v>
      </c>
      <c r="D27" s="5" t="s">
        <v>587</v>
      </c>
      <c r="E27" s="22" t="s">
        <v>588</v>
      </c>
    </row>
    <row r="28" spans="1:5" ht="12.75">
      <c r="A28" s="18" t="s">
        <v>589</v>
      </c>
      <c r="B28" s="5" t="s">
        <v>83</v>
      </c>
      <c r="C28" s="5" t="s">
        <v>548</v>
      </c>
      <c r="D28" s="5" t="s">
        <v>590</v>
      </c>
      <c r="E28" s="22" t="s">
        <v>591</v>
      </c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4" width="10.625" style="5" bestFit="1" customWidth="1"/>
    <col min="5" max="5" width="22.75390625" style="5" bestFit="1" customWidth="1"/>
    <col min="6" max="6" width="21.875" style="5" bestFit="1" customWidth="1"/>
    <col min="7" max="7" width="5.625" style="4" bestFit="1" customWidth="1"/>
    <col min="8" max="8" width="10.375" style="32" bestFit="1" customWidth="1"/>
    <col min="9" max="9" width="7.875" style="5" bestFit="1" customWidth="1"/>
    <col min="10" max="10" width="7.625" style="4" bestFit="1" customWidth="1"/>
    <col min="11" max="11" width="16.375" style="5" bestFit="1" customWidth="1"/>
    <col min="12" max="16384" width="9.125" style="4" customWidth="1"/>
  </cols>
  <sheetData>
    <row r="1" spans="1:11" s="3" customFormat="1" ht="28.5" customHeight="1">
      <c r="A1" s="60" t="s">
        <v>592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3" customFormat="1" ht="64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s="1" customFormat="1" ht="15">
      <c r="A3" s="66" t="s">
        <v>0</v>
      </c>
      <c r="B3" s="68" t="s">
        <v>6</v>
      </c>
      <c r="C3" s="68" t="s">
        <v>7</v>
      </c>
      <c r="D3" s="70" t="s">
        <v>537</v>
      </c>
      <c r="E3" s="70" t="s">
        <v>4</v>
      </c>
      <c r="F3" s="70" t="s">
        <v>8</v>
      </c>
      <c r="G3" s="70" t="s">
        <v>538</v>
      </c>
      <c r="H3" s="70"/>
      <c r="I3" s="70" t="s">
        <v>539</v>
      </c>
      <c r="J3" s="70" t="s">
        <v>3</v>
      </c>
      <c r="K3" s="57" t="s">
        <v>2</v>
      </c>
    </row>
    <row r="4" spans="1:11" s="1" customFormat="1" ht="15.75" thickBot="1">
      <c r="A4" s="67"/>
      <c r="B4" s="69"/>
      <c r="C4" s="69"/>
      <c r="D4" s="69"/>
      <c r="E4" s="69"/>
      <c r="F4" s="69"/>
      <c r="G4" s="2" t="s">
        <v>540</v>
      </c>
      <c r="H4" s="31" t="s">
        <v>541</v>
      </c>
      <c r="I4" s="69"/>
      <c r="J4" s="69"/>
      <c r="K4" s="58"/>
    </row>
    <row r="5" spans="1:10" ht="15">
      <c r="A5" s="59" t="s">
        <v>542</v>
      </c>
      <c r="B5" s="59"/>
      <c r="C5" s="59"/>
      <c r="D5" s="59"/>
      <c r="E5" s="59"/>
      <c r="F5" s="59"/>
      <c r="G5" s="59"/>
      <c r="H5" s="59"/>
      <c r="I5" s="59"/>
      <c r="J5" s="59"/>
    </row>
    <row r="6" spans="1:11" ht="12.75">
      <c r="A6" s="6" t="s">
        <v>593</v>
      </c>
      <c r="B6" s="6" t="s">
        <v>594</v>
      </c>
      <c r="C6" s="6" t="s">
        <v>595</v>
      </c>
      <c r="D6" s="6" t="str">
        <f>"1,0000"</f>
        <v>1,0000</v>
      </c>
      <c r="E6" s="6" t="s">
        <v>167</v>
      </c>
      <c r="F6" s="6" t="s">
        <v>34</v>
      </c>
      <c r="G6" s="8" t="s">
        <v>25</v>
      </c>
      <c r="H6" s="33" t="s">
        <v>596</v>
      </c>
      <c r="I6" s="6" t="str">
        <f>"2700,0"</f>
        <v>2700,0</v>
      </c>
      <c r="J6" s="8" t="str">
        <f>"33,3539"</f>
        <v>33,3539</v>
      </c>
      <c r="K6" s="6" t="s">
        <v>711</v>
      </c>
    </row>
    <row r="8" spans="5:6" ht="12.75">
      <c r="E8" s="42" t="s">
        <v>76</v>
      </c>
      <c r="F8" s="5" t="s">
        <v>488</v>
      </c>
    </row>
    <row r="9" spans="5:6" ht="12.75">
      <c r="E9" s="42" t="s">
        <v>77</v>
      </c>
      <c r="F9" s="5" t="s">
        <v>489</v>
      </c>
    </row>
    <row r="10" spans="5:6" ht="12.75">
      <c r="E10" s="42" t="s">
        <v>78</v>
      </c>
      <c r="F10" s="5" t="s">
        <v>490</v>
      </c>
    </row>
    <row r="11" spans="5:6" ht="12.75">
      <c r="E11" s="42" t="s">
        <v>79</v>
      </c>
      <c r="F11" s="5" t="s">
        <v>491</v>
      </c>
    </row>
    <row r="12" spans="5:6" ht="12.75">
      <c r="E12" s="42" t="s">
        <v>79</v>
      </c>
      <c r="F12" s="5" t="s">
        <v>492</v>
      </c>
    </row>
    <row r="13" spans="5:6" ht="12.75">
      <c r="E13" s="42" t="s">
        <v>80</v>
      </c>
      <c r="F13" s="5" t="s">
        <v>493</v>
      </c>
    </row>
    <row r="14" ht="15">
      <c r="E14" s="14"/>
    </row>
    <row r="16" spans="1:2" ht="18">
      <c r="A16" s="16" t="s">
        <v>81</v>
      </c>
      <c r="B16" s="16"/>
    </row>
    <row r="17" spans="1:2" ht="15">
      <c r="A17" s="17" t="s">
        <v>95</v>
      </c>
      <c r="B17" s="17"/>
    </row>
    <row r="18" spans="1:2" ht="14.25">
      <c r="A18" s="19"/>
      <c r="B18" s="20" t="s">
        <v>83</v>
      </c>
    </row>
    <row r="19" spans="1:5" ht="15">
      <c r="A19" s="21" t="s">
        <v>84</v>
      </c>
      <c r="B19" s="21" t="s">
        <v>85</v>
      </c>
      <c r="C19" s="21" t="s">
        <v>86</v>
      </c>
      <c r="D19" s="21" t="s">
        <v>87</v>
      </c>
      <c r="E19" s="21" t="s">
        <v>547</v>
      </c>
    </row>
    <row r="20" spans="1:5" ht="12.75">
      <c r="A20" s="18" t="s">
        <v>597</v>
      </c>
      <c r="B20" s="5" t="s">
        <v>83</v>
      </c>
      <c r="C20" s="5" t="s">
        <v>548</v>
      </c>
      <c r="D20" s="5" t="s">
        <v>598</v>
      </c>
      <c r="E20" s="22" t="s">
        <v>599</v>
      </c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E9" sqref="E9:E14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4" width="10.625" style="5" bestFit="1" customWidth="1"/>
    <col min="5" max="5" width="22.75390625" style="5" bestFit="1" customWidth="1"/>
    <col min="6" max="6" width="29.00390625" style="5" bestFit="1" customWidth="1"/>
    <col min="7" max="7" width="4.625" style="4" bestFit="1" customWidth="1"/>
    <col min="8" max="8" width="4.625" style="32" bestFit="1" customWidth="1"/>
    <col min="9" max="9" width="7.875" style="5" bestFit="1" customWidth="1"/>
    <col min="10" max="10" width="7.625" style="4" bestFit="1" customWidth="1"/>
    <col min="11" max="11" width="13.125" style="5" bestFit="1" customWidth="1"/>
    <col min="12" max="16384" width="9.125" style="4" customWidth="1"/>
  </cols>
  <sheetData>
    <row r="1" spans="1:11" s="3" customFormat="1" ht="28.5" customHeight="1">
      <c r="A1" s="60" t="s">
        <v>600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3" customFormat="1" ht="59.2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s="1" customFormat="1" ht="15">
      <c r="A3" s="66" t="s">
        <v>0</v>
      </c>
      <c r="B3" s="68" t="s">
        <v>6</v>
      </c>
      <c r="C3" s="68" t="s">
        <v>7</v>
      </c>
      <c r="D3" s="70" t="s">
        <v>537</v>
      </c>
      <c r="E3" s="70" t="s">
        <v>4</v>
      </c>
      <c r="F3" s="70" t="s">
        <v>8</v>
      </c>
      <c r="G3" s="70" t="s">
        <v>538</v>
      </c>
      <c r="H3" s="70"/>
      <c r="I3" s="70" t="s">
        <v>539</v>
      </c>
      <c r="J3" s="70" t="s">
        <v>3</v>
      </c>
      <c r="K3" s="57" t="s">
        <v>2</v>
      </c>
    </row>
    <row r="4" spans="1:11" s="1" customFormat="1" ht="15.75" thickBot="1">
      <c r="A4" s="67"/>
      <c r="B4" s="69"/>
      <c r="C4" s="69"/>
      <c r="D4" s="69"/>
      <c r="E4" s="69"/>
      <c r="F4" s="69"/>
      <c r="G4" s="2" t="s">
        <v>540</v>
      </c>
      <c r="H4" s="31" t="s">
        <v>541</v>
      </c>
      <c r="I4" s="69"/>
      <c r="J4" s="69"/>
      <c r="K4" s="58"/>
    </row>
    <row r="5" spans="1:10" ht="15">
      <c r="A5" s="59" t="s">
        <v>542</v>
      </c>
      <c r="B5" s="59"/>
      <c r="C5" s="59"/>
      <c r="D5" s="59"/>
      <c r="E5" s="59"/>
      <c r="F5" s="59"/>
      <c r="G5" s="59"/>
      <c r="H5" s="59"/>
      <c r="I5" s="59"/>
      <c r="J5" s="59"/>
    </row>
    <row r="6" spans="1:11" ht="12.75">
      <c r="A6" s="9" t="s">
        <v>601</v>
      </c>
      <c r="B6" s="9" t="s">
        <v>602</v>
      </c>
      <c r="C6" s="9" t="s">
        <v>603</v>
      </c>
      <c r="D6" s="9" t="str">
        <f>"1,0000"</f>
        <v>1,0000</v>
      </c>
      <c r="E6" s="9" t="s">
        <v>220</v>
      </c>
      <c r="F6" s="9" t="s">
        <v>34</v>
      </c>
      <c r="G6" s="10" t="s">
        <v>36</v>
      </c>
      <c r="H6" s="34" t="s">
        <v>604</v>
      </c>
      <c r="I6" s="9" t="str">
        <f>"4425,0"</f>
        <v>4425,0</v>
      </c>
      <c r="J6" s="10" t="str">
        <f>"48,0456"</f>
        <v>48,0456</v>
      </c>
      <c r="K6" s="9" t="s">
        <v>57</v>
      </c>
    </row>
    <row r="7" spans="1:11" ht="12.75">
      <c r="A7" s="12" t="s">
        <v>605</v>
      </c>
      <c r="B7" s="12" t="s">
        <v>606</v>
      </c>
      <c r="C7" s="12" t="s">
        <v>607</v>
      </c>
      <c r="D7" s="12" t="str">
        <f>"1,0000"</f>
        <v>1,0000</v>
      </c>
      <c r="E7" s="12" t="s">
        <v>608</v>
      </c>
      <c r="F7" s="12" t="s">
        <v>115</v>
      </c>
      <c r="G7" s="15" t="s">
        <v>36</v>
      </c>
      <c r="H7" s="35" t="s">
        <v>609</v>
      </c>
      <c r="I7" s="12" t="str">
        <f>"3450,0"</f>
        <v>3450,0</v>
      </c>
      <c r="J7" s="15" t="str">
        <f>"36,1635"</f>
        <v>36,1635</v>
      </c>
      <c r="K7" s="12" t="s">
        <v>610</v>
      </c>
    </row>
    <row r="9" spans="5:6" ht="12.75">
      <c r="E9" s="42" t="s">
        <v>76</v>
      </c>
      <c r="F9" s="5" t="s">
        <v>488</v>
      </c>
    </row>
    <row r="10" spans="5:6" ht="12.75">
      <c r="E10" s="42" t="s">
        <v>77</v>
      </c>
      <c r="F10" s="5" t="s">
        <v>489</v>
      </c>
    </row>
    <row r="11" spans="5:6" ht="12.75">
      <c r="E11" s="42" t="s">
        <v>78</v>
      </c>
      <c r="F11" s="5" t="s">
        <v>490</v>
      </c>
    </row>
    <row r="12" spans="5:6" ht="12.75">
      <c r="E12" s="42" t="s">
        <v>79</v>
      </c>
      <c r="F12" s="5" t="s">
        <v>491</v>
      </c>
    </row>
    <row r="13" spans="5:6" ht="12.75">
      <c r="E13" s="42" t="s">
        <v>79</v>
      </c>
      <c r="F13" s="5" t="s">
        <v>492</v>
      </c>
    </row>
    <row r="14" spans="5:6" ht="12.75">
      <c r="E14" s="42" t="s">
        <v>80</v>
      </c>
      <c r="F14" s="5" t="s">
        <v>493</v>
      </c>
    </row>
    <row r="15" ht="15">
      <c r="E15" s="14"/>
    </row>
    <row r="17" spans="1:2" ht="18">
      <c r="A17" s="16" t="s">
        <v>81</v>
      </c>
      <c r="B17" s="16"/>
    </row>
    <row r="18" spans="1:2" ht="15">
      <c r="A18" s="17" t="s">
        <v>95</v>
      </c>
      <c r="B18" s="17"/>
    </row>
    <row r="19" spans="1:2" ht="14.25">
      <c r="A19" s="19"/>
      <c r="B19" s="20" t="s">
        <v>83</v>
      </c>
    </row>
    <row r="20" spans="1:5" ht="15">
      <c r="A20" s="21" t="s">
        <v>84</v>
      </c>
      <c r="B20" s="21" t="s">
        <v>85</v>
      </c>
      <c r="C20" s="21" t="s">
        <v>86</v>
      </c>
      <c r="D20" s="21" t="s">
        <v>87</v>
      </c>
      <c r="E20" s="21" t="s">
        <v>547</v>
      </c>
    </row>
    <row r="21" spans="1:5" ht="12.75">
      <c r="A21" s="18" t="s">
        <v>611</v>
      </c>
      <c r="B21" s="5" t="s">
        <v>83</v>
      </c>
      <c r="C21" s="5" t="s">
        <v>548</v>
      </c>
      <c r="D21" s="5" t="s">
        <v>612</v>
      </c>
      <c r="E21" s="22" t="s">
        <v>613</v>
      </c>
    </row>
    <row r="23" spans="1:2" ht="14.25">
      <c r="A23" s="19"/>
      <c r="B23" s="20" t="s">
        <v>120</v>
      </c>
    </row>
    <row r="24" spans="1:5" ht="15">
      <c r="A24" s="21" t="s">
        <v>84</v>
      </c>
      <c r="B24" s="21" t="s">
        <v>85</v>
      </c>
      <c r="C24" s="21" t="s">
        <v>86</v>
      </c>
      <c r="D24" s="21" t="s">
        <v>87</v>
      </c>
      <c r="E24" s="21" t="s">
        <v>547</v>
      </c>
    </row>
    <row r="25" spans="1:5" ht="12.75">
      <c r="A25" s="18" t="s">
        <v>614</v>
      </c>
      <c r="B25" s="5" t="s">
        <v>335</v>
      </c>
      <c r="C25" s="5" t="s">
        <v>548</v>
      </c>
      <c r="D25" s="5" t="s">
        <v>615</v>
      </c>
      <c r="E25" s="22" t="s">
        <v>616</v>
      </c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8" sqref="E8:E14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4" width="10.625" style="5" bestFit="1" customWidth="1"/>
    <col min="5" max="5" width="22.75390625" style="5" bestFit="1" customWidth="1"/>
    <col min="6" max="6" width="21.875" style="5" bestFit="1" customWidth="1"/>
    <col min="7" max="7" width="4.625" style="4" bestFit="1" customWidth="1"/>
    <col min="8" max="8" width="5.625" style="32" bestFit="1" customWidth="1"/>
    <col min="9" max="9" width="7.875" style="5" bestFit="1" customWidth="1"/>
    <col min="10" max="10" width="8.625" style="4" bestFit="1" customWidth="1"/>
    <col min="11" max="11" width="13.25390625" style="5" bestFit="1" customWidth="1"/>
    <col min="12" max="16384" width="9.125" style="4" customWidth="1"/>
  </cols>
  <sheetData>
    <row r="1" spans="1:11" s="3" customFormat="1" ht="28.5" customHeight="1">
      <c r="A1" s="60" t="s">
        <v>617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3" customFormat="1" ht="63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s="1" customFormat="1" ht="15">
      <c r="A3" s="66" t="s">
        <v>0</v>
      </c>
      <c r="B3" s="68" t="s">
        <v>6</v>
      </c>
      <c r="C3" s="68" t="s">
        <v>7</v>
      </c>
      <c r="D3" s="70" t="s">
        <v>537</v>
      </c>
      <c r="E3" s="70" t="s">
        <v>4</v>
      </c>
      <c r="F3" s="70" t="s">
        <v>8</v>
      </c>
      <c r="G3" s="70" t="s">
        <v>538</v>
      </c>
      <c r="H3" s="70"/>
      <c r="I3" s="70" t="s">
        <v>539</v>
      </c>
      <c r="J3" s="70" t="s">
        <v>3</v>
      </c>
      <c r="K3" s="57" t="s">
        <v>2</v>
      </c>
    </row>
    <row r="4" spans="1:11" s="1" customFormat="1" ht="15.75" thickBot="1">
      <c r="A4" s="67"/>
      <c r="B4" s="69"/>
      <c r="C4" s="69"/>
      <c r="D4" s="69"/>
      <c r="E4" s="69"/>
      <c r="F4" s="69"/>
      <c r="G4" s="2" t="s">
        <v>540</v>
      </c>
      <c r="H4" s="31" t="s">
        <v>541</v>
      </c>
      <c r="I4" s="69"/>
      <c r="J4" s="69"/>
      <c r="K4" s="58"/>
    </row>
    <row r="5" spans="1:10" ht="15">
      <c r="A5" s="59" t="s">
        <v>542</v>
      </c>
      <c r="B5" s="59"/>
      <c r="C5" s="59"/>
      <c r="D5" s="59"/>
      <c r="E5" s="59"/>
      <c r="F5" s="59"/>
      <c r="G5" s="59"/>
      <c r="H5" s="59"/>
      <c r="I5" s="59"/>
      <c r="J5" s="59"/>
    </row>
    <row r="6" spans="1:11" ht="12.75">
      <c r="A6" s="6" t="s">
        <v>618</v>
      </c>
      <c r="B6" s="6" t="s">
        <v>619</v>
      </c>
      <c r="C6" s="6" t="s">
        <v>620</v>
      </c>
      <c r="D6" s="6" t="str">
        <f>"1,0000"</f>
        <v>1,0000</v>
      </c>
      <c r="E6" s="6" t="s">
        <v>220</v>
      </c>
      <c r="F6" s="6" t="s">
        <v>34</v>
      </c>
      <c r="G6" s="8" t="s">
        <v>502</v>
      </c>
      <c r="H6" s="33" t="s">
        <v>621</v>
      </c>
      <c r="I6" s="6" t="str">
        <f>"17325,0"</f>
        <v>17325,0</v>
      </c>
      <c r="J6" s="8" t="str">
        <f>"206,0047"</f>
        <v>206,0047</v>
      </c>
      <c r="K6" s="6" t="s">
        <v>257</v>
      </c>
    </row>
    <row r="8" spans="5:6" ht="12.75">
      <c r="E8" s="42" t="s">
        <v>76</v>
      </c>
      <c r="F8" s="5" t="s">
        <v>488</v>
      </c>
    </row>
    <row r="9" spans="5:6" ht="12.75">
      <c r="E9" s="42" t="s">
        <v>77</v>
      </c>
      <c r="F9" s="5" t="s">
        <v>489</v>
      </c>
    </row>
    <row r="10" spans="5:6" ht="12.75">
      <c r="E10" s="42" t="s">
        <v>78</v>
      </c>
      <c r="F10" s="5" t="s">
        <v>490</v>
      </c>
    </row>
    <row r="11" spans="5:6" ht="12.75">
      <c r="E11" s="42" t="s">
        <v>79</v>
      </c>
      <c r="F11" s="5" t="s">
        <v>491</v>
      </c>
    </row>
    <row r="12" spans="5:6" ht="12.75">
      <c r="E12" s="42" t="s">
        <v>79</v>
      </c>
      <c r="F12" s="5" t="s">
        <v>492</v>
      </c>
    </row>
    <row r="13" spans="5:6" ht="12.75">
      <c r="E13" s="42" t="s">
        <v>80</v>
      </c>
      <c r="F13" s="5" t="s">
        <v>493</v>
      </c>
    </row>
    <row r="14" ht="12.75">
      <c r="E14" s="42"/>
    </row>
    <row r="16" spans="1:2" ht="18">
      <c r="A16" s="16" t="s">
        <v>81</v>
      </c>
      <c r="B16" s="16"/>
    </row>
    <row r="17" spans="1:2" ht="15">
      <c r="A17" s="17" t="s">
        <v>95</v>
      </c>
      <c r="B17" s="17"/>
    </row>
    <row r="18" spans="1:2" ht="14.25">
      <c r="A18" s="19"/>
      <c r="B18" s="20" t="s">
        <v>83</v>
      </c>
    </row>
    <row r="19" spans="1:5" ht="15">
      <c r="A19" s="21" t="s">
        <v>84</v>
      </c>
      <c r="B19" s="21" t="s">
        <v>85</v>
      </c>
      <c r="C19" s="21" t="s">
        <v>86</v>
      </c>
      <c r="D19" s="21" t="s">
        <v>87</v>
      </c>
      <c r="E19" s="21" t="s">
        <v>547</v>
      </c>
    </row>
    <row r="20" spans="1:5" ht="12.75">
      <c r="A20" s="18" t="s">
        <v>622</v>
      </c>
      <c r="B20" s="5" t="s">
        <v>83</v>
      </c>
      <c r="C20" s="5" t="s">
        <v>548</v>
      </c>
      <c r="D20" s="5" t="s">
        <v>623</v>
      </c>
      <c r="E20" s="22" t="s">
        <v>624</v>
      </c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E8" sqref="E8:E13"/>
    </sheetView>
  </sheetViews>
  <sheetFormatPr defaultColWidth="9.00390625" defaultRowHeight="12.75"/>
  <cols>
    <col min="1" max="1" width="26.00390625" style="0" bestFit="1" customWidth="1"/>
    <col min="2" max="2" width="28.625" style="0" bestFit="1" customWidth="1"/>
    <col min="5" max="5" width="22.75390625" style="0" bestFit="1" customWidth="1"/>
    <col min="6" max="6" width="30.25390625" style="0" bestFit="1" customWidth="1"/>
    <col min="17" max="17" width="15.875" style="0" bestFit="1" customWidth="1"/>
  </cols>
  <sheetData>
    <row r="1" spans="1:17" ht="12.75" customHeight="1">
      <c r="A1" s="60" t="s">
        <v>494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17" ht="81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ht="15" customHeight="1">
      <c r="A3" s="66" t="s">
        <v>0</v>
      </c>
      <c r="B3" s="68" t="s">
        <v>6</v>
      </c>
      <c r="C3" s="68" t="s">
        <v>7</v>
      </c>
      <c r="D3" s="70" t="s">
        <v>10</v>
      </c>
      <c r="E3" s="70" t="s">
        <v>4</v>
      </c>
      <c r="F3" s="70" t="s">
        <v>8</v>
      </c>
      <c r="G3" s="70" t="s">
        <v>495</v>
      </c>
      <c r="H3" s="70"/>
      <c r="I3" s="70"/>
      <c r="J3" s="70"/>
      <c r="K3" s="70" t="s">
        <v>496</v>
      </c>
      <c r="L3" s="70"/>
      <c r="M3" s="70"/>
      <c r="N3" s="70"/>
      <c r="O3" s="70" t="s">
        <v>1</v>
      </c>
      <c r="P3" s="70" t="s">
        <v>3</v>
      </c>
      <c r="Q3" s="57" t="s">
        <v>2</v>
      </c>
    </row>
    <row r="4" spans="1:17" ht="15.75" thickBot="1">
      <c r="A4" s="67"/>
      <c r="B4" s="69"/>
      <c r="C4" s="69"/>
      <c r="D4" s="69"/>
      <c r="E4" s="69"/>
      <c r="F4" s="69"/>
      <c r="G4" s="2">
        <v>1</v>
      </c>
      <c r="H4" s="2">
        <v>2</v>
      </c>
      <c r="I4" s="2">
        <v>3</v>
      </c>
      <c r="J4" s="2" t="s">
        <v>5</v>
      </c>
      <c r="K4" s="2">
        <v>1</v>
      </c>
      <c r="L4" s="2">
        <v>2</v>
      </c>
      <c r="M4" s="2">
        <v>3</v>
      </c>
      <c r="N4" s="2" t="s">
        <v>5</v>
      </c>
      <c r="O4" s="69"/>
      <c r="P4" s="69"/>
      <c r="Q4" s="58"/>
    </row>
    <row r="5" spans="1:17" ht="15">
      <c r="A5" s="59" t="s">
        <v>58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"/>
    </row>
    <row r="6" spans="1:17" ht="12.75">
      <c r="A6" s="6" t="s">
        <v>497</v>
      </c>
      <c r="B6" s="6" t="s">
        <v>498</v>
      </c>
      <c r="C6" s="6" t="s">
        <v>499</v>
      </c>
      <c r="D6" s="6" t="str">
        <f>"0,6083"</f>
        <v>0,6083</v>
      </c>
      <c r="E6" s="6" t="s">
        <v>292</v>
      </c>
      <c r="F6" s="6" t="s">
        <v>500</v>
      </c>
      <c r="G6" s="8" t="s">
        <v>35</v>
      </c>
      <c r="H6" s="8" t="s">
        <v>36</v>
      </c>
      <c r="I6" s="8" t="s">
        <v>501</v>
      </c>
      <c r="J6" s="7"/>
      <c r="K6" s="8" t="s">
        <v>23</v>
      </c>
      <c r="L6" s="8" t="s">
        <v>502</v>
      </c>
      <c r="M6" s="8" t="s">
        <v>503</v>
      </c>
      <c r="N6" s="7"/>
      <c r="O6" s="6" t="str">
        <f>"135,0"</f>
        <v>135,0</v>
      </c>
      <c r="P6" s="8" t="str">
        <f>"86,0623"</f>
        <v>86,0623</v>
      </c>
      <c r="Q6" s="6" t="s">
        <v>504</v>
      </c>
    </row>
    <row r="7" spans="1:17" ht="12.75">
      <c r="A7" s="5"/>
      <c r="B7" s="5"/>
      <c r="C7" s="5"/>
      <c r="D7" s="5"/>
      <c r="E7" s="5"/>
      <c r="F7" s="5"/>
      <c r="G7" s="4"/>
      <c r="H7" s="4"/>
      <c r="I7" s="4"/>
      <c r="J7" s="4"/>
      <c r="K7" s="4"/>
      <c r="L7" s="4"/>
      <c r="M7" s="4"/>
      <c r="N7" s="4"/>
      <c r="O7" s="5"/>
      <c r="P7" s="4"/>
      <c r="Q7" s="5"/>
    </row>
    <row r="8" spans="1:17" ht="12.75">
      <c r="A8" s="5"/>
      <c r="B8" s="5"/>
      <c r="C8" s="5"/>
      <c r="D8" s="5"/>
      <c r="E8" s="42" t="s">
        <v>76</v>
      </c>
      <c r="F8" s="5" t="s">
        <v>488</v>
      </c>
      <c r="G8" s="4"/>
      <c r="H8" s="4"/>
      <c r="I8" s="4"/>
      <c r="J8" s="4"/>
      <c r="K8" s="4"/>
      <c r="L8" s="4"/>
      <c r="M8" s="4"/>
      <c r="N8" s="4"/>
      <c r="O8" s="5"/>
      <c r="P8" s="4"/>
      <c r="Q8" s="5"/>
    </row>
    <row r="9" spans="1:17" ht="12.75">
      <c r="A9" s="5"/>
      <c r="B9" s="5"/>
      <c r="C9" s="5"/>
      <c r="D9" s="5"/>
      <c r="E9" s="42" t="s">
        <v>77</v>
      </c>
      <c r="F9" s="5" t="s">
        <v>489</v>
      </c>
      <c r="G9" s="4"/>
      <c r="H9" s="4"/>
      <c r="I9" s="4"/>
      <c r="J9" s="4"/>
      <c r="K9" s="4"/>
      <c r="L9" s="4"/>
      <c r="M9" s="4"/>
      <c r="N9" s="4"/>
      <c r="O9" s="5"/>
      <c r="P9" s="4"/>
      <c r="Q9" s="5"/>
    </row>
    <row r="10" spans="1:17" ht="12.75">
      <c r="A10" s="5"/>
      <c r="B10" s="5"/>
      <c r="C10" s="5"/>
      <c r="D10" s="5"/>
      <c r="E10" s="42" t="s">
        <v>78</v>
      </c>
      <c r="F10" s="5" t="s">
        <v>490</v>
      </c>
      <c r="G10" s="4"/>
      <c r="H10" s="4"/>
      <c r="I10" s="4"/>
      <c r="J10" s="4"/>
      <c r="K10" s="4"/>
      <c r="L10" s="4"/>
      <c r="M10" s="4"/>
      <c r="N10" s="4"/>
      <c r="O10" s="5"/>
      <c r="P10" s="4"/>
      <c r="Q10" s="5"/>
    </row>
    <row r="11" spans="1:17" ht="12.75">
      <c r="A11" s="5"/>
      <c r="B11" s="5"/>
      <c r="C11" s="5"/>
      <c r="D11" s="5"/>
      <c r="E11" s="42" t="s">
        <v>79</v>
      </c>
      <c r="F11" s="5" t="s">
        <v>491</v>
      </c>
      <c r="G11" s="4"/>
      <c r="H11" s="4"/>
      <c r="I11" s="4"/>
      <c r="J11" s="4"/>
      <c r="K11" s="4"/>
      <c r="L11" s="4"/>
      <c r="M11" s="4"/>
      <c r="N11" s="4"/>
      <c r="O11" s="5"/>
      <c r="P11" s="4"/>
      <c r="Q11" s="5"/>
    </row>
    <row r="12" spans="1:17" ht="12.75">
      <c r="A12" s="5"/>
      <c r="B12" s="5"/>
      <c r="C12" s="5"/>
      <c r="D12" s="5"/>
      <c r="E12" s="42" t="s">
        <v>79</v>
      </c>
      <c r="F12" s="5" t="s">
        <v>492</v>
      </c>
      <c r="G12" s="4"/>
      <c r="H12" s="4"/>
      <c r="I12" s="4"/>
      <c r="J12" s="4"/>
      <c r="K12" s="4"/>
      <c r="L12" s="4"/>
      <c r="M12" s="4"/>
      <c r="N12" s="4"/>
      <c r="O12" s="5"/>
      <c r="P12" s="4"/>
      <c r="Q12" s="5"/>
    </row>
    <row r="13" spans="1:17" ht="12.75">
      <c r="A13" s="5"/>
      <c r="B13" s="5"/>
      <c r="C13" s="5"/>
      <c r="D13" s="5"/>
      <c r="E13" s="42" t="s">
        <v>80</v>
      </c>
      <c r="F13" s="5" t="s">
        <v>493</v>
      </c>
      <c r="G13" s="4"/>
      <c r="H13" s="4"/>
      <c r="I13" s="4"/>
      <c r="J13" s="4"/>
      <c r="K13" s="4"/>
      <c r="L13" s="4"/>
      <c r="M13" s="4"/>
      <c r="N13" s="4"/>
      <c r="O13" s="5"/>
      <c r="P13" s="4"/>
      <c r="Q13" s="5"/>
    </row>
    <row r="14" spans="1:17" ht="15">
      <c r="A14" s="5"/>
      <c r="B14" s="5"/>
      <c r="C14" s="5"/>
      <c r="D14" s="5"/>
      <c r="E14" s="14"/>
      <c r="F14" s="5"/>
      <c r="G14" s="4"/>
      <c r="H14" s="4"/>
      <c r="I14" s="4"/>
      <c r="J14" s="4"/>
      <c r="K14" s="4"/>
      <c r="L14" s="4"/>
      <c r="M14" s="4"/>
      <c r="N14" s="4"/>
      <c r="O14" s="5"/>
      <c r="P14" s="4"/>
      <c r="Q14" s="5"/>
    </row>
    <row r="15" spans="1:17" ht="12.75">
      <c r="A15" s="5"/>
      <c r="B15" s="5"/>
      <c r="C15" s="5"/>
      <c r="D15" s="5"/>
      <c r="E15" s="5"/>
      <c r="F15" s="5"/>
      <c r="G15" s="4"/>
      <c r="H15" s="4"/>
      <c r="I15" s="4"/>
      <c r="J15" s="4"/>
      <c r="K15" s="4"/>
      <c r="L15" s="4"/>
      <c r="M15" s="4"/>
      <c r="N15" s="4"/>
      <c r="O15" s="5"/>
      <c r="P15" s="4"/>
      <c r="Q15" s="5"/>
    </row>
    <row r="16" spans="1:17" ht="18">
      <c r="A16" s="16" t="s">
        <v>81</v>
      </c>
      <c r="B16" s="16"/>
      <c r="C16" s="5"/>
      <c r="D16" s="5"/>
      <c r="E16" s="5"/>
      <c r="F16" s="5"/>
      <c r="G16" s="4"/>
      <c r="H16" s="4"/>
      <c r="I16" s="4"/>
      <c r="J16" s="4"/>
      <c r="K16" s="4"/>
      <c r="L16" s="4"/>
      <c r="M16" s="4"/>
      <c r="N16" s="4"/>
      <c r="O16" s="5"/>
      <c r="P16" s="4"/>
      <c r="Q16" s="5"/>
    </row>
    <row r="17" spans="1:17" ht="15">
      <c r="A17" s="17" t="s">
        <v>95</v>
      </c>
      <c r="B17" s="17"/>
      <c r="C17" s="5"/>
      <c r="D17" s="5"/>
      <c r="E17" s="5"/>
      <c r="F17" s="5"/>
      <c r="G17" s="4"/>
      <c r="H17" s="4"/>
      <c r="I17" s="4"/>
      <c r="J17" s="4"/>
      <c r="K17" s="4"/>
      <c r="L17" s="4"/>
      <c r="M17" s="4"/>
      <c r="N17" s="4"/>
      <c r="O17" s="5"/>
      <c r="P17" s="4"/>
      <c r="Q17" s="5"/>
    </row>
    <row r="18" spans="1:17" ht="14.25">
      <c r="A18" s="19"/>
      <c r="B18" s="20" t="s">
        <v>120</v>
      </c>
      <c r="C18" s="5"/>
      <c r="D18" s="5"/>
      <c r="E18" s="5"/>
      <c r="F18" s="5"/>
      <c r="G18" s="4"/>
      <c r="H18" s="4"/>
      <c r="I18" s="4"/>
      <c r="J18" s="4"/>
      <c r="K18" s="4"/>
      <c r="L18" s="4"/>
      <c r="M18" s="4"/>
      <c r="N18" s="4"/>
      <c r="O18" s="5"/>
      <c r="P18" s="4"/>
      <c r="Q18" s="5"/>
    </row>
    <row r="19" spans="1:17" ht="15">
      <c r="A19" s="21" t="s">
        <v>84</v>
      </c>
      <c r="B19" s="21" t="s">
        <v>85</v>
      </c>
      <c r="C19" s="21" t="s">
        <v>86</v>
      </c>
      <c r="D19" s="21" t="s">
        <v>87</v>
      </c>
      <c r="E19" s="21" t="s">
        <v>88</v>
      </c>
      <c r="F19" s="5"/>
      <c r="G19" s="4"/>
      <c r="H19" s="4"/>
      <c r="I19" s="4"/>
      <c r="J19" s="4"/>
      <c r="K19" s="4"/>
      <c r="L19" s="4"/>
      <c r="M19" s="4"/>
      <c r="N19" s="4"/>
      <c r="O19" s="5"/>
      <c r="P19" s="4"/>
      <c r="Q19" s="5"/>
    </row>
    <row r="20" spans="1:17" ht="12.75">
      <c r="A20" s="18" t="s">
        <v>505</v>
      </c>
      <c r="B20" s="5" t="s">
        <v>401</v>
      </c>
      <c r="C20" s="5" t="s">
        <v>103</v>
      </c>
      <c r="D20" s="5" t="s">
        <v>131</v>
      </c>
      <c r="E20" s="22" t="s">
        <v>506</v>
      </c>
      <c r="F20" s="5"/>
      <c r="G20" s="4"/>
      <c r="H20" s="4"/>
      <c r="I20" s="4"/>
      <c r="J20" s="4"/>
      <c r="K20" s="4"/>
      <c r="L20" s="4"/>
      <c r="M20" s="4"/>
      <c r="N20" s="4"/>
      <c r="O20" s="5"/>
      <c r="P20" s="4"/>
      <c r="Q20" s="5"/>
    </row>
  </sheetData>
  <sheetProtection/>
  <mergeCells count="13"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E8" sqref="E8:E14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8.875" style="5" bestFit="1" customWidth="1"/>
    <col min="7" max="9" width="4.625" style="4" bestFit="1" customWidth="1"/>
    <col min="10" max="10" width="4.875" style="4" bestFit="1" customWidth="1"/>
    <col min="11" max="13" width="4.625" style="4" bestFit="1" customWidth="1"/>
    <col min="14" max="14" width="4.875" style="4" bestFit="1" customWidth="1"/>
    <col min="15" max="15" width="7.875" style="5" bestFit="1" customWidth="1"/>
    <col min="16" max="16" width="7.625" style="4" bestFit="1" customWidth="1"/>
    <col min="17" max="17" width="8.875" style="5" bestFit="1" customWidth="1"/>
    <col min="18" max="16384" width="9.125" style="4" customWidth="1"/>
  </cols>
  <sheetData>
    <row r="1" spans="1:17" s="3" customFormat="1" ht="28.5" customHeight="1">
      <c r="A1" s="60" t="s">
        <v>507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17" s="3" customFormat="1" ht="62.2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s="1" customFormat="1" ht="15">
      <c r="A3" s="66" t="s">
        <v>0</v>
      </c>
      <c r="B3" s="68" t="s">
        <v>6</v>
      </c>
      <c r="C3" s="68" t="s">
        <v>7</v>
      </c>
      <c r="D3" s="70" t="s">
        <v>10</v>
      </c>
      <c r="E3" s="70" t="s">
        <v>4</v>
      </c>
      <c r="F3" s="70" t="s">
        <v>8</v>
      </c>
      <c r="G3" s="70" t="s">
        <v>495</v>
      </c>
      <c r="H3" s="70"/>
      <c r="I3" s="70"/>
      <c r="J3" s="70"/>
      <c r="K3" s="70" t="s">
        <v>496</v>
      </c>
      <c r="L3" s="70"/>
      <c r="M3" s="70"/>
      <c r="N3" s="70"/>
      <c r="O3" s="70" t="s">
        <v>1</v>
      </c>
      <c r="P3" s="70" t="s">
        <v>3</v>
      </c>
      <c r="Q3" s="57" t="s">
        <v>2</v>
      </c>
    </row>
    <row r="4" spans="1:17" s="1" customFormat="1" ht="15.75" thickBot="1">
      <c r="A4" s="67"/>
      <c r="B4" s="69"/>
      <c r="C4" s="69"/>
      <c r="D4" s="69"/>
      <c r="E4" s="69"/>
      <c r="F4" s="69"/>
      <c r="G4" s="2">
        <v>1</v>
      </c>
      <c r="H4" s="2">
        <v>2</v>
      </c>
      <c r="I4" s="2">
        <v>3</v>
      </c>
      <c r="J4" s="2" t="s">
        <v>5</v>
      </c>
      <c r="K4" s="2">
        <v>1</v>
      </c>
      <c r="L4" s="2">
        <v>2</v>
      </c>
      <c r="M4" s="2">
        <v>3</v>
      </c>
      <c r="N4" s="2" t="s">
        <v>5</v>
      </c>
      <c r="O4" s="69"/>
      <c r="P4" s="69"/>
      <c r="Q4" s="58"/>
    </row>
    <row r="5" spans="1:16" ht="15">
      <c r="A5" s="59" t="s">
        <v>58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7" ht="12.75">
      <c r="A6" s="6" t="s">
        <v>508</v>
      </c>
      <c r="B6" s="6" t="s">
        <v>509</v>
      </c>
      <c r="C6" s="6" t="s">
        <v>510</v>
      </c>
      <c r="D6" s="6" t="str">
        <f>"0,5865"</f>
        <v>0,5865</v>
      </c>
      <c r="E6" s="6" t="s">
        <v>33</v>
      </c>
      <c r="F6" s="6" t="s">
        <v>200</v>
      </c>
      <c r="G6" s="7" t="s">
        <v>501</v>
      </c>
      <c r="H6" s="8" t="s">
        <v>501</v>
      </c>
      <c r="I6" s="8" t="s">
        <v>47</v>
      </c>
      <c r="J6" s="7"/>
      <c r="K6" s="8" t="s">
        <v>511</v>
      </c>
      <c r="L6" s="8" t="s">
        <v>36</v>
      </c>
      <c r="M6" s="7" t="s">
        <v>501</v>
      </c>
      <c r="N6" s="7"/>
      <c r="O6" s="6" t="str">
        <f>"155,0"</f>
        <v>155,0</v>
      </c>
      <c r="P6" s="8" t="str">
        <f>"90,9075"</f>
        <v>90,9075</v>
      </c>
      <c r="Q6" s="6" t="s">
        <v>57</v>
      </c>
    </row>
    <row r="8" spans="5:6" ht="12.75">
      <c r="E8" s="42" t="s">
        <v>76</v>
      </c>
      <c r="F8" s="5" t="s">
        <v>488</v>
      </c>
    </row>
    <row r="9" spans="5:6" ht="12.75">
      <c r="E9" s="42" t="s">
        <v>77</v>
      </c>
      <c r="F9" s="5" t="s">
        <v>489</v>
      </c>
    </row>
    <row r="10" spans="5:6" ht="12.75">
      <c r="E10" s="42" t="s">
        <v>78</v>
      </c>
      <c r="F10" s="5" t="s">
        <v>490</v>
      </c>
    </row>
    <row r="11" spans="5:6" ht="12.75">
      <c r="E11" s="42" t="s">
        <v>79</v>
      </c>
      <c r="F11" s="5" t="s">
        <v>491</v>
      </c>
    </row>
    <row r="12" spans="5:6" ht="12.75">
      <c r="E12" s="42" t="s">
        <v>79</v>
      </c>
      <c r="F12" s="5" t="s">
        <v>492</v>
      </c>
    </row>
    <row r="13" spans="5:6" ht="12.75">
      <c r="E13" s="42" t="s">
        <v>80</v>
      </c>
      <c r="F13" s="5" t="s">
        <v>493</v>
      </c>
    </row>
    <row r="14" ht="12.75">
      <c r="E14" s="42"/>
    </row>
    <row r="16" spans="1:2" ht="18">
      <c r="A16" s="16" t="s">
        <v>81</v>
      </c>
      <c r="B16" s="16"/>
    </row>
    <row r="17" spans="1:2" ht="15">
      <c r="A17" s="17" t="s">
        <v>95</v>
      </c>
      <c r="B17" s="17"/>
    </row>
    <row r="18" spans="1:2" ht="14.25">
      <c r="A18" s="19"/>
      <c r="B18" s="20" t="s">
        <v>83</v>
      </c>
    </row>
    <row r="19" spans="1:5" ht="15">
      <c r="A19" s="21" t="s">
        <v>84</v>
      </c>
      <c r="B19" s="21" t="s">
        <v>85</v>
      </c>
      <c r="C19" s="21" t="s">
        <v>86</v>
      </c>
      <c r="D19" s="21" t="s">
        <v>87</v>
      </c>
      <c r="E19" s="21" t="s">
        <v>88</v>
      </c>
    </row>
    <row r="20" spans="1:5" ht="12.75">
      <c r="A20" s="18" t="s">
        <v>512</v>
      </c>
      <c r="B20" s="5" t="s">
        <v>83</v>
      </c>
      <c r="C20" s="5" t="s">
        <v>103</v>
      </c>
      <c r="D20" s="5" t="s">
        <v>75</v>
      </c>
      <c r="E20" s="22" t="s">
        <v>513</v>
      </c>
    </row>
  </sheetData>
  <sheetProtection/>
  <mergeCells count="13"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E17" sqref="E17:E24"/>
    </sheetView>
  </sheetViews>
  <sheetFormatPr defaultColWidth="9.00390625" defaultRowHeight="21.75" customHeight="1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9.00390625" style="5" bestFit="1" customWidth="1"/>
    <col min="7" max="9" width="4.625" style="4" bestFit="1" customWidth="1"/>
    <col min="10" max="10" width="4.875" style="4" bestFit="1" customWidth="1"/>
    <col min="11" max="11" width="11.25390625" style="29" bestFit="1" customWidth="1"/>
    <col min="12" max="12" width="7.625" style="4" bestFit="1" customWidth="1"/>
    <col min="13" max="13" width="11.00390625" style="5" bestFit="1" customWidth="1"/>
    <col min="14" max="16384" width="9.125" style="4" customWidth="1"/>
  </cols>
  <sheetData>
    <row r="1" spans="1:13" s="3" customFormat="1" ht="21.75" customHeight="1">
      <c r="A1" s="60" t="s">
        <v>514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3" customFormat="1" ht="76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21.75" customHeight="1">
      <c r="A3" s="66" t="s">
        <v>0</v>
      </c>
      <c r="B3" s="68" t="s">
        <v>6</v>
      </c>
      <c r="C3" s="68" t="s">
        <v>7</v>
      </c>
      <c r="D3" s="70" t="s">
        <v>10</v>
      </c>
      <c r="E3" s="70" t="s">
        <v>4</v>
      </c>
      <c r="F3" s="70" t="s">
        <v>8</v>
      </c>
      <c r="G3" s="70" t="s">
        <v>496</v>
      </c>
      <c r="H3" s="70"/>
      <c r="I3" s="70"/>
      <c r="J3" s="70"/>
      <c r="K3" s="70" t="s">
        <v>161</v>
      </c>
      <c r="L3" s="70" t="s">
        <v>3</v>
      </c>
      <c r="M3" s="57" t="s">
        <v>2</v>
      </c>
    </row>
    <row r="4" spans="1:13" s="1" customFormat="1" ht="21.75" customHeight="1" thickBot="1">
      <c r="A4" s="67"/>
      <c r="B4" s="69"/>
      <c r="C4" s="69"/>
      <c r="D4" s="69"/>
      <c r="E4" s="69"/>
      <c r="F4" s="69"/>
      <c r="G4" s="2">
        <v>1</v>
      </c>
      <c r="H4" s="2">
        <v>2</v>
      </c>
      <c r="I4" s="2">
        <v>3</v>
      </c>
      <c r="J4" s="2" t="s">
        <v>5</v>
      </c>
      <c r="K4" s="69"/>
      <c r="L4" s="69"/>
      <c r="M4" s="58"/>
    </row>
    <row r="5" spans="1:12" ht="15">
      <c r="A5" s="59" t="s">
        <v>58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2.75">
      <c r="A6" s="9" t="s">
        <v>508</v>
      </c>
      <c r="B6" s="9" t="s">
        <v>509</v>
      </c>
      <c r="C6" s="9" t="s">
        <v>510</v>
      </c>
      <c r="D6" s="9" t="str">
        <f>"0,5865"</f>
        <v>0,5865</v>
      </c>
      <c r="E6" s="9" t="s">
        <v>33</v>
      </c>
      <c r="F6" s="9" t="s">
        <v>200</v>
      </c>
      <c r="G6" s="10" t="s">
        <v>511</v>
      </c>
      <c r="H6" s="10" t="s">
        <v>36</v>
      </c>
      <c r="I6" s="10" t="s">
        <v>501</v>
      </c>
      <c r="J6" s="11"/>
      <c r="K6" s="26" t="str">
        <f>"77,5"</f>
        <v>77,5</v>
      </c>
      <c r="L6" s="10" t="str">
        <f>"45,4537"</f>
        <v>45,4537</v>
      </c>
      <c r="M6" s="9" t="s">
        <v>57</v>
      </c>
    </row>
    <row r="7" spans="1:13" ht="12.75">
      <c r="A7" s="23" t="s">
        <v>515</v>
      </c>
      <c r="B7" s="23" t="s">
        <v>481</v>
      </c>
      <c r="C7" s="23" t="s">
        <v>482</v>
      </c>
      <c r="D7" s="23" t="str">
        <f>"0,5879"</f>
        <v>0,5879</v>
      </c>
      <c r="E7" s="23" t="s">
        <v>33</v>
      </c>
      <c r="F7" s="23" t="s">
        <v>34</v>
      </c>
      <c r="G7" s="25" t="s">
        <v>516</v>
      </c>
      <c r="H7" s="25" t="s">
        <v>186</v>
      </c>
      <c r="I7" s="25" t="s">
        <v>35</v>
      </c>
      <c r="J7" s="24"/>
      <c r="K7" s="27" t="str">
        <f>"70,0"</f>
        <v>70,0</v>
      </c>
      <c r="L7" s="25" t="str">
        <f>"41,1530"</f>
        <v>41,1530</v>
      </c>
      <c r="M7" s="23" t="s">
        <v>57</v>
      </c>
    </row>
    <row r="8" spans="1:13" ht="12.75">
      <c r="A8" s="12" t="s">
        <v>517</v>
      </c>
      <c r="B8" s="12" t="s">
        <v>271</v>
      </c>
      <c r="C8" s="12" t="s">
        <v>272</v>
      </c>
      <c r="D8" s="12" t="str">
        <f>"0,5978"</f>
        <v>0,5978</v>
      </c>
      <c r="E8" s="12" t="s">
        <v>33</v>
      </c>
      <c r="F8" s="12" t="s">
        <v>34</v>
      </c>
      <c r="G8" s="15" t="s">
        <v>502</v>
      </c>
      <c r="H8" s="13" t="s">
        <v>185</v>
      </c>
      <c r="I8" s="13" t="s">
        <v>185</v>
      </c>
      <c r="J8" s="13"/>
      <c r="K8" s="28" t="str">
        <f>"55,0"</f>
        <v>55,0</v>
      </c>
      <c r="L8" s="15" t="str">
        <f>"32,8790"</f>
        <v>32,8790</v>
      </c>
      <c r="M8" s="12" t="s">
        <v>518</v>
      </c>
    </row>
    <row r="10" spans="1:12" ht="15">
      <c r="A10" s="72" t="s">
        <v>139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3" ht="12.75">
      <c r="A11" s="9" t="s">
        <v>289</v>
      </c>
      <c r="B11" s="9" t="s">
        <v>290</v>
      </c>
      <c r="C11" s="9" t="s">
        <v>291</v>
      </c>
      <c r="D11" s="9" t="str">
        <f>"0,5712"</f>
        <v>0,5712</v>
      </c>
      <c r="E11" s="9" t="s">
        <v>33</v>
      </c>
      <c r="F11" s="9" t="s">
        <v>143</v>
      </c>
      <c r="G11" s="10" t="s">
        <v>516</v>
      </c>
      <c r="H11" s="10" t="s">
        <v>35</v>
      </c>
      <c r="I11" s="10" t="s">
        <v>501</v>
      </c>
      <c r="J11" s="11"/>
      <c r="K11" s="26" t="str">
        <f>"77,5"</f>
        <v>77,5</v>
      </c>
      <c r="L11" s="10" t="str">
        <f>"44,2680"</f>
        <v>44,2680</v>
      </c>
      <c r="M11" s="9" t="s">
        <v>293</v>
      </c>
    </row>
    <row r="12" spans="1:13" ht="12.75">
      <c r="A12" s="12" t="s">
        <v>519</v>
      </c>
      <c r="B12" s="12" t="s">
        <v>520</v>
      </c>
      <c r="C12" s="12" t="s">
        <v>521</v>
      </c>
      <c r="D12" s="12" t="str">
        <f>"0,5619"</f>
        <v>0,5619</v>
      </c>
      <c r="E12" s="12" t="s">
        <v>33</v>
      </c>
      <c r="F12" s="12" t="s">
        <v>115</v>
      </c>
      <c r="G12" s="15" t="s">
        <v>522</v>
      </c>
      <c r="H12" s="15" t="s">
        <v>35</v>
      </c>
      <c r="I12" s="13" t="s">
        <v>511</v>
      </c>
      <c r="J12" s="13"/>
      <c r="K12" s="28" t="str">
        <f>"70,0"</f>
        <v>70,0</v>
      </c>
      <c r="L12" s="15" t="str">
        <f>"39,3330"</f>
        <v>39,3330</v>
      </c>
      <c r="M12" s="12" t="s">
        <v>57</v>
      </c>
    </row>
    <row r="14" spans="1:12" ht="15">
      <c r="A14" s="72" t="s">
        <v>69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3" ht="12.75">
      <c r="A15" s="6" t="s">
        <v>523</v>
      </c>
      <c r="B15" s="6" t="s">
        <v>524</v>
      </c>
      <c r="C15" s="6" t="s">
        <v>525</v>
      </c>
      <c r="D15" s="6" t="str">
        <f>"0,5380"</f>
        <v>0,5380</v>
      </c>
      <c r="E15" s="6" t="s">
        <v>19</v>
      </c>
      <c r="F15" s="6" t="s">
        <v>20</v>
      </c>
      <c r="G15" s="8" t="s">
        <v>23</v>
      </c>
      <c r="H15" s="8" t="s">
        <v>186</v>
      </c>
      <c r="I15" s="8" t="s">
        <v>36</v>
      </c>
      <c r="J15" s="7"/>
      <c r="K15" s="30" t="str">
        <f>"75,0"</f>
        <v>75,0</v>
      </c>
      <c r="L15" s="8" t="str">
        <f>"40,3537"</f>
        <v>40,3537</v>
      </c>
      <c r="M15" s="6" t="s">
        <v>57</v>
      </c>
    </row>
    <row r="17" spans="5:6" ht="12.75">
      <c r="E17" s="42" t="s">
        <v>76</v>
      </c>
      <c r="F17" s="5" t="s">
        <v>488</v>
      </c>
    </row>
    <row r="18" spans="5:6" ht="12.75">
      <c r="E18" s="42" t="s">
        <v>77</v>
      </c>
      <c r="F18" s="5" t="s">
        <v>489</v>
      </c>
    </row>
    <row r="19" spans="5:6" ht="12.75">
      <c r="E19" s="42" t="s">
        <v>78</v>
      </c>
      <c r="F19" s="5" t="s">
        <v>490</v>
      </c>
    </row>
    <row r="20" spans="5:6" ht="12.75">
      <c r="E20" s="42" t="s">
        <v>79</v>
      </c>
      <c r="F20" s="5" t="s">
        <v>491</v>
      </c>
    </row>
    <row r="21" spans="5:6" ht="12.75">
      <c r="E21" s="42" t="s">
        <v>79</v>
      </c>
      <c r="F21" s="5" t="s">
        <v>492</v>
      </c>
    </row>
    <row r="22" spans="5:6" ht="12.75">
      <c r="E22" s="42" t="s">
        <v>80</v>
      </c>
      <c r="F22" s="5" t="s">
        <v>493</v>
      </c>
    </row>
    <row r="23" ht="21.75" customHeight="1">
      <c r="E23" s="42"/>
    </row>
    <row r="24" ht="21.75" customHeight="1">
      <c r="E24" s="42"/>
    </row>
    <row r="25" spans="1:2" ht="21.75" customHeight="1">
      <c r="A25" s="16" t="s">
        <v>81</v>
      </c>
      <c r="B25" s="16"/>
    </row>
    <row r="26" spans="1:2" ht="21.75" customHeight="1">
      <c r="A26" s="17" t="s">
        <v>95</v>
      </c>
      <c r="B26" s="17"/>
    </row>
    <row r="27" spans="1:2" ht="21.75" customHeight="1">
      <c r="A27" s="19"/>
      <c r="B27" s="20" t="s">
        <v>83</v>
      </c>
    </row>
    <row r="28" spans="1:5" ht="21.75" customHeight="1">
      <c r="A28" s="21" t="s">
        <v>84</v>
      </c>
      <c r="B28" s="21" t="s">
        <v>85</v>
      </c>
      <c r="C28" s="21" t="s">
        <v>86</v>
      </c>
      <c r="D28" s="21" t="s">
        <v>87</v>
      </c>
      <c r="E28" s="21" t="s">
        <v>88</v>
      </c>
    </row>
    <row r="29" spans="1:5" ht="12.75">
      <c r="A29" s="18" t="s">
        <v>512</v>
      </c>
      <c r="B29" s="5" t="s">
        <v>83</v>
      </c>
      <c r="C29" s="5" t="s">
        <v>103</v>
      </c>
      <c r="D29" s="5" t="s">
        <v>501</v>
      </c>
      <c r="E29" s="22" t="s">
        <v>526</v>
      </c>
    </row>
    <row r="30" spans="1:5" ht="12.75">
      <c r="A30" s="18" t="s">
        <v>288</v>
      </c>
      <c r="B30" s="5" t="s">
        <v>83</v>
      </c>
      <c r="C30" s="5" t="s">
        <v>317</v>
      </c>
      <c r="D30" s="5" t="s">
        <v>501</v>
      </c>
      <c r="E30" s="22" t="s">
        <v>527</v>
      </c>
    </row>
    <row r="31" spans="1:5" ht="12.75">
      <c r="A31" s="18" t="s">
        <v>479</v>
      </c>
      <c r="B31" s="5" t="s">
        <v>83</v>
      </c>
      <c r="C31" s="5" t="s">
        <v>103</v>
      </c>
      <c r="D31" s="5" t="s">
        <v>35</v>
      </c>
      <c r="E31" s="22" t="s">
        <v>528</v>
      </c>
    </row>
    <row r="32" spans="1:5" ht="12.75">
      <c r="A32" s="18" t="s">
        <v>529</v>
      </c>
      <c r="B32" s="5" t="s">
        <v>83</v>
      </c>
      <c r="C32" s="5" t="s">
        <v>106</v>
      </c>
      <c r="D32" s="5" t="s">
        <v>36</v>
      </c>
      <c r="E32" s="22" t="s">
        <v>530</v>
      </c>
    </row>
    <row r="33" spans="1:5" ht="12.75">
      <c r="A33" s="18" t="s">
        <v>531</v>
      </c>
      <c r="B33" s="5" t="s">
        <v>83</v>
      </c>
      <c r="C33" s="5" t="s">
        <v>317</v>
      </c>
      <c r="D33" s="5" t="s">
        <v>35</v>
      </c>
      <c r="E33" s="22" t="s">
        <v>532</v>
      </c>
    </row>
    <row r="34" spans="1:5" ht="12.75">
      <c r="A34" s="18" t="s">
        <v>269</v>
      </c>
      <c r="B34" s="5" t="s">
        <v>83</v>
      </c>
      <c r="C34" s="5" t="s">
        <v>103</v>
      </c>
      <c r="D34" s="5" t="s">
        <v>502</v>
      </c>
      <c r="E34" s="22" t="s">
        <v>533</v>
      </c>
    </row>
  </sheetData>
  <sheetProtection/>
  <mergeCells count="14">
    <mergeCell ref="M3:M4"/>
    <mergeCell ref="A5:L5"/>
    <mergeCell ref="A10:L10"/>
    <mergeCell ref="A14:L1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8" sqref="E8:E14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4.75390625" style="5" bestFit="1" customWidth="1"/>
    <col min="7" max="9" width="4.625" style="4" bestFit="1" customWidth="1"/>
    <col min="10" max="10" width="4.875" style="4" bestFit="1" customWidth="1"/>
    <col min="11" max="11" width="7.875" style="5" bestFit="1" customWidth="1"/>
    <col min="12" max="12" width="7.625" style="4" bestFit="1" customWidth="1"/>
    <col min="13" max="13" width="14.375" style="5" bestFit="1" customWidth="1"/>
    <col min="14" max="16384" width="9.125" style="4" customWidth="1"/>
  </cols>
  <sheetData>
    <row r="1" spans="1:13" s="3" customFormat="1" ht="28.5" customHeight="1">
      <c r="A1" s="60" t="s">
        <v>534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3" customFormat="1" ht="66.7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5">
      <c r="A3" s="66" t="s">
        <v>0</v>
      </c>
      <c r="B3" s="68" t="s">
        <v>6</v>
      </c>
      <c r="C3" s="68" t="s">
        <v>7</v>
      </c>
      <c r="D3" s="70" t="s">
        <v>10</v>
      </c>
      <c r="E3" s="70" t="s">
        <v>4</v>
      </c>
      <c r="F3" s="70" t="s">
        <v>8</v>
      </c>
      <c r="G3" s="70" t="s">
        <v>495</v>
      </c>
      <c r="H3" s="70"/>
      <c r="I3" s="70"/>
      <c r="J3" s="70"/>
      <c r="K3" s="70" t="s">
        <v>161</v>
      </c>
      <c r="L3" s="70" t="s">
        <v>3</v>
      </c>
      <c r="M3" s="57" t="s">
        <v>2</v>
      </c>
    </row>
    <row r="4" spans="1:13" s="1" customFormat="1" ht="15.75" thickBot="1">
      <c r="A4" s="67"/>
      <c r="B4" s="69"/>
      <c r="C4" s="69"/>
      <c r="D4" s="69"/>
      <c r="E4" s="69"/>
      <c r="F4" s="69"/>
      <c r="G4" s="2">
        <v>1</v>
      </c>
      <c r="H4" s="2">
        <v>2</v>
      </c>
      <c r="I4" s="2">
        <v>3</v>
      </c>
      <c r="J4" s="2" t="s">
        <v>5</v>
      </c>
      <c r="K4" s="69"/>
      <c r="L4" s="69"/>
      <c r="M4" s="58"/>
    </row>
    <row r="5" spans="1:12" ht="15">
      <c r="A5" s="59" t="s">
        <v>58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2.75">
      <c r="A6" s="6" t="s">
        <v>171</v>
      </c>
      <c r="B6" s="6" t="s">
        <v>172</v>
      </c>
      <c r="C6" s="6" t="s">
        <v>173</v>
      </c>
      <c r="D6" s="6" t="str">
        <f>"0,6047"</f>
        <v>0,6047</v>
      </c>
      <c r="E6" s="6" t="s">
        <v>33</v>
      </c>
      <c r="F6" s="6" t="s">
        <v>20</v>
      </c>
      <c r="G6" s="8" t="s">
        <v>23</v>
      </c>
      <c r="H6" s="8" t="s">
        <v>516</v>
      </c>
      <c r="I6" s="8" t="s">
        <v>522</v>
      </c>
      <c r="J6" s="7"/>
      <c r="K6" s="6" t="str">
        <f>"67,5"</f>
        <v>67,5</v>
      </c>
      <c r="L6" s="8" t="str">
        <f>"40,8206"</f>
        <v>40,8206</v>
      </c>
      <c r="M6" s="6" t="s">
        <v>27</v>
      </c>
    </row>
    <row r="8" spans="5:6" ht="12.75">
      <c r="E8" s="42" t="s">
        <v>76</v>
      </c>
      <c r="F8" s="5" t="s">
        <v>488</v>
      </c>
    </row>
    <row r="9" spans="5:6" ht="12.75">
      <c r="E9" s="42" t="s">
        <v>77</v>
      </c>
      <c r="F9" s="5" t="s">
        <v>489</v>
      </c>
    </row>
    <row r="10" spans="5:6" ht="12.75">
      <c r="E10" s="42" t="s">
        <v>78</v>
      </c>
      <c r="F10" s="5" t="s">
        <v>490</v>
      </c>
    </row>
    <row r="11" spans="5:6" ht="12.75">
      <c r="E11" s="42" t="s">
        <v>79</v>
      </c>
      <c r="F11" s="5" t="s">
        <v>491</v>
      </c>
    </row>
    <row r="12" spans="5:6" ht="12.75">
      <c r="E12" s="42" t="s">
        <v>79</v>
      </c>
      <c r="F12" s="5" t="s">
        <v>492</v>
      </c>
    </row>
    <row r="13" spans="5:6" ht="12.75">
      <c r="E13" s="42" t="s">
        <v>80</v>
      </c>
      <c r="F13" s="5" t="s">
        <v>493</v>
      </c>
    </row>
    <row r="14" ht="12.75">
      <c r="E14" s="42"/>
    </row>
    <row r="16" spans="1:2" ht="18">
      <c r="A16" s="16" t="s">
        <v>81</v>
      </c>
      <c r="B16" s="16"/>
    </row>
    <row r="17" spans="1:2" ht="15">
      <c r="A17" s="17" t="s">
        <v>95</v>
      </c>
      <c r="B17" s="17"/>
    </row>
    <row r="18" spans="1:2" ht="14.25">
      <c r="A18" s="19"/>
      <c r="B18" s="20" t="s">
        <v>83</v>
      </c>
    </row>
    <row r="19" spans="1:5" ht="15">
      <c r="A19" s="21" t="s">
        <v>84</v>
      </c>
      <c r="B19" s="21" t="s">
        <v>85</v>
      </c>
      <c r="C19" s="21" t="s">
        <v>86</v>
      </c>
      <c r="D19" s="21" t="s">
        <v>87</v>
      </c>
      <c r="E19" s="21" t="s">
        <v>88</v>
      </c>
    </row>
    <row r="20" spans="1:5" ht="12.75">
      <c r="A20" s="18" t="s">
        <v>170</v>
      </c>
      <c r="B20" s="5" t="s">
        <v>83</v>
      </c>
      <c r="C20" s="5" t="s">
        <v>103</v>
      </c>
      <c r="D20" s="5" t="s">
        <v>522</v>
      </c>
      <c r="E20" s="22" t="s">
        <v>535</v>
      </c>
    </row>
  </sheetData>
  <sheetProtection/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4.75390625" style="5" bestFit="1" customWidth="1"/>
    <col min="7" max="9" width="5.625" style="4" bestFit="1" customWidth="1"/>
    <col min="10" max="10" width="4.875" style="4" bestFit="1" customWidth="1"/>
    <col min="11" max="14" width="5.625" style="4" bestFit="1" customWidth="1"/>
    <col min="15" max="15" width="7.875" style="5" bestFit="1" customWidth="1"/>
    <col min="16" max="16" width="8.625" style="4" bestFit="1" customWidth="1"/>
    <col min="17" max="17" width="14.75390625" style="5" bestFit="1" customWidth="1"/>
    <col min="18" max="16384" width="9.125" style="4" customWidth="1"/>
  </cols>
  <sheetData>
    <row r="1" spans="1:17" s="3" customFormat="1" ht="28.5" customHeight="1">
      <c r="A1" s="60" t="s">
        <v>476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17" s="3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s="1" customFormat="1" ht="12.75" customHeight="1">
      <c r="A3" s="66" t="s">
        <v>0</v>
      </c>
      <c r="B3" s="68" t="s">
        <v>6</v>
      </c>
      <c r="C3" s="68" t="s">
        <v>7</v>
      </c>
      <c r="D3" s="70" t="s">
        <v>10</v>
      </c>
      <c r="E3" s="70" t="s">
        <v>4</v>
      </c>
      <c r="F3" s="70" t="s">
        <v>8</v>
      </c>
      <c r="G3" s="70" t="s">
        <v>12</v>
      </c>
      <c r="H3" s="70"/>
      <c r="I3" s="70"/>
      <c r="J3" s="70"/>
      <c r="K3" s="70" t="s">
        <v>13</v>
      </c>
      <c r="L3" s="70"/>
      <c r="M3" s="70"/>
      <c r="N3" s="70"/>
      <c r="O3" s="70" t="s">
        <v>1</v>
      </c>
      <c r="P3" s="70" t="s">
        <v>3</v>
      </c>
      <c r="Q3" s="57" t="s">
        <v>2</v>
      </c>
    </row>
    <row r="4" spans="1:17" s="1" customFormat="1" ht="21" customHeight="1" thickBot="1">
      <c r="A4" s="67"/>
      <c r="B4" s="69"/>
      <c r="C4" s="69"/>
      <c r="D4" s="69"/>
      <c r="E4" s="69"/>
      <c r="F4" s="69"/>
      <c r="G4" s="2">
        <v>1</v>
      </c>
      <c r="H4" s="2">
        <v>2</v>
      </c>
      <c r="I4" s="2">
        <v>3</v>
      </c>
      <c r="J4" s="2" t="s">
        <v>5</v>
      </c>
      <c r="K4" s="2">
        <v>1</v>
      </c>
      <c r="L4" s="2">
        <v>2</v>
      </c>
      <c r="M4" s="2">
        <v>3</v>
      </c>
      <c r="N4" s="2" t="s">
        <v>5</v>
      </c>
      <c r="O4" s="69"/>
      <c r="P4" s="69"/>
      <c r="Q4" s="58"/>
    </row>
    <row r="5" spans="1:16" ht="15">
      <c r="A5" s="59" t="s">
        <v>14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7" ht="12.75">
      <c r="A6" s="6" t="s">
        <v>182</v>
      </c>
      <c r="B6" s="6" t="s">
        <v>183</v>
      </c>
      <c r="C6" s="6" t="s">
        <v>184</v>
      </c>
      <c r="D6" s="6" t="str">
        <f>"0,9039"</f>
        <v>0,9039</v>
      </c>
      <c r="E6" s="6" t="s">
        <v>167</v>
      </c>
      <c r="F6" s="6" t="s">
        <v>34</v>
      </c>
      <c r="G6" s="8" t="s">
        <v>185</v>
      </c>
      <c r="H6" s="7" t="s">
        <v>186</v>
      </c>
      <c r="I6" s="7" t="s">
        <v>186</v>
      </c>
      <c r="J6" s="7"/>
      <c r="K6" s="8" t="s">
        <v>26</v>
      </c>
      <c r="L6" s="8" t="s">
        <v>118</v>
      </c>
      <c r="M6" s="8" t="s">
        <v>155</v>
      </c>
      <c r="N6" s="7" t="s">
        <v>65</v>
      </c>
      <c r="O6" s="6" t="str">
        <f>"180,0"</f>
        <v>180,0</v>
      </c>
      <c r="P6" s="8" t="str">
        <f>"294,4906"</f>
        <v>294,4906</v>
      </c>
      <c r="Q6" s="6" t="s">
        <v>187</v>
      </c>
    </row>
    <row r="8" spans="1:16" ht="15">
      <c r="A8" s="72" t="s">
        <v>110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7" ht="12.75">
      <c r="A9" s="6" t="s">
        <v>443</v>
      </c>
      <c r="B9" s="6" t="s">
        <v>444</v>
      </c>
      <c r="C9" s="6" t="s">
        <v>477</v>
      </c>
      <c r="D9" s="6" t="str">
        <f>"0,6281"</f>
        <v>0,6281</v>
      </c>
      <c r="E9" s="6" t="s">
        <v>19</v>
      </c>
      <c r="F9" s="6" t="s">
        <v>20</v>
      </c>
      <c r="G9" s="8" t="s">
        <v>138</v>
      </c>
      <c r="H9" s="8" t="s">
        <v>478</v>
      </c>
      <c r="I9" s="8" t="s">
        <v>26</v>
      </c>
      <c r="J9" s="7"/>
      <c r="K9" s="8" t="s">
        <v>119</v>
      </c>
      <c r="L9" s="8" t="s">
        <v>99</v>
      </c>
      <c r="M9" s="7" t="s">
        <v>67</v>
      </c>
      <c r="N9" s="7"/>
      <c r="O9" s="6" t="str">
        <f>"325,0"</f>
        <v>325,0</v>
      </c>
      <c r="P9" s="8" t="str">
        <f>"204,1487"</f>
        <v>204,1487</v>
      </c>
      <c r="Q9" s="6" t="s">
        <v>27</v>
      </c>
    </row>
    <row r="11" spans="1:16" ht="15">
      <c r="A11" s="72" t="s">
        <v>58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7" ht="12.75">
      <c r="A12" s="6" t="s">
        <v>480</v>
      </c>
      <c r="B12" s="6" t="s">
        <v>481</v>
      </c>
      <c r="C12" s="6" t="s">
        <v>482</v>
      </c>
      <c r="D12" s="6" t="str">
        <f>"0,5879"</f>
        <v>0,5879</v>
      </c>
      <c r="E12" s="6" t="s">
        <v>33</v>
      </c>
      <c r="F12" s="6" t="s">
        <v>34</v>
      </c>
      <c r="G12" s="8" t="s">
        <v>75</v>
      </c>
      <c r="H12" s="8" t="s">
        <v>214</v>
      </c>
      <c r="I12" s="8" t="s">
        <v>116</v>
      </c>
      <c r="J12" s="7"/>
      <c r="K12" s="8" t="s">
        <v>64</v>
      </c>
      <c r="L12" s="8" t="s">
        <v>376</v>
      </c>
      <c r="M12" s="8" t="s">
        <v>483</v>
      </c>
      <c r="N12" s="7"/>
      <c r="O12" s="6" t="str">
        <f>"390,0"</f>
        <v>390,0</v>
      </c>
      <c r="P12" s="8" t="str">
        <f>"229,2810"</f>
        <v>229,2810</v>
      </c>
      <c r="Q12" s="6" t="s">
        <v>57</v>
      </c>
    </row>
    <row r="14" spans="5:6" ht="12.75">
      <c r="E14" s="42" t="s">
        <v>76</v>
      </c>
      <c r="F14" s="5" t="s">
        <v>488</v>
      </c>
    </row>
    <row r="15" spans="5:6" ht="12.75">
      <c r="E15" s="42" t="s">
        <v>77</v>
      </c>
      <c r="F15" s="5" t="s">
        <v>489</v>
      </c>
    </row>
    <row r="16" spans="5:6" ht="12.75">
      <c r="E16" s="42" t="s">
        <v>78</v>
      </c>
      <c r="F16" s="5" t="s">
        <v>490</v>
      </c>
    </row>
    <row r="17" spans="5:6" ht="12.75">
      <c r="E17" s="42" t="s">
        <v>79</v>
      </c>
      <c r="F17" s="5" t="s">
        <v>491</v>
      </c>
    </row>
    <row r="18" spans="5:6" ht="12.75">
      <c r="E18" s="42" t="s">
        <v>79</v>
      </c>
      <c r="F18" s="5" t="s">
        <v>492</v>
      </c>
    </row>
    <row r="19" spans="5:6" ht="12.75">
      <c r="E19" s="42" t="s">
        <v>80</v>
      </c>
      <c r="F19" s="5" t="s">
        <v>493</v>
      </c>
    </row>
    <row r="20" ht="12.75">
      <c r="E20" s="42"/>
    </row>
    <row r="22" spans="1:2" ht="18">
      <c r="A22" s="16" t="s">
        <v>81</v>
      </c>
      <c r="B22" s="16"/>
    </row>
    <row r="23" spans="1:2" ht="15">
      <c r="A23" s="17" t="s">
        <v>82</v>
      </c>
      <c r="B23" s="17"/>
    </row>
    <row r="24" spans="1:2" ht="14.25">
      <c r="A24" s="19"/>
      <c r="B24" s="20" t="s">
        <v>120</v>
      </c>
    </row>
    <row r="25" spans="1:5" ht="15">
      <c r="A25" s="21" t="s">
        <v>84</v>
      </c>
      <c r="B25" s="21" t="s">
        <v>85</v>
      </c>
      <c r="C25" s="21" t="s">
        <v>86</v>
      </c>
      <c r="D25" s="21" t="s">
        <v>87</v>
      </c>
      <c r="E25" s="21" t="s">
        <v>88</v>
      </c>
    </row>
    <row r="26" spans="1:5" ht="12.75">
      <c r="A26" s="18" t="s">
        <v>181</v>
      </c>
      <c r="B26" s="5" t="s">
        <v>311</v>
      </c>
      <c r="C26" s="5" t="s">
        <v>89</v>
      </c>
      <c r="D26" s="5" t="s">
        <v>63</v>
      </c>
      <c r="E26" s="22" t="s">
        <v>484</v>
      </c>
    </row>
    <row r="29" spans="1:2" ht="15">
      <c r="A29" s="17" t="s">
        <v>95</v>
      </c>
      <c r="B29" s="17"/>
    </row>
    <row r="30" spans="1:2" ht="14.25">
      <c r="A30" s="19"/>
      <c r="B30" s="20" t="s">
        <v>83</v>
      </c>
    </row>
    <row r="31" spans="1:5" ht="15">
      <c r="A31" s="21" t="s">
        <v>84</v>
      </c>
      <c r="B31" s="21" t="s">
        <v>85</v>
      </c>
      <c r="C31" s="21" t="s">
        <v>86</v>
      </c>
      <c r="D31" s="21" t="s">
        <v>87</v>
      </c>
      <c r="E31" s="21" t="s">
        <v>88</v>
      </c>
    </row>
    <row r="32" spans="1:5" ht="12.75">
      <c r="A32" s="18" t="s">
        <v>479</v>
      </c>
      <c r="B32" s="5" t="s">
        <v>83</v>
      </c>
      <c r="C32" s="5" t="s">
        <v>103</v>
      </c>
      <c r="D32" s="5" t="s">
        <v>485</v>
      </c>
      <c r="E32" s="22" t="s">
        <v>486</v>
      </c>
    </row>
    <row r="33" spans="1:5" ht="12.75">
      <c r="A33" s="18" t="s">
        <v>442</v>
      </c>
      <c r="B33" s="5" t="s">
        <v>83</v>
      </c>
      <c r="C33" s="5" t="s">
        <v>122</v>
      </c>
      <c r="D33" s="5" t="s">
        <v>453</v>
      </c>
      <c r="E33" s="22" t="s">
        <v>487</v>
      </c>
    </row>
  </sheetData>
  <sheetProtection/>
  <mergeCells count="15">
    <mergeCell ref="A11:P11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P5"/>
    <mergeCell ref="A8:P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11" sqref="E11:E17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4.7539062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14.375" style="5" bestFit="1" customWidth="1"/>
    <col min="14" max="16384" width="9.125" style="4" customWidth="1"/>
  </cols>
  <sheetData>
    <row r="1" spans="1:13" s="3" customFormat="1" ht="28.5" customHeight="1">
      <c r="A1" s="60" t="s">
        <v>473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3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70" t="s">
        <v>10</v>
      </c>
      <c r="E3" s="70" t="s">
        <v>4</v>
      </c>
      <c r="F3" s="70" t="s">
        <v>8</v>
      </c>
      <c r="G3" s="70" t="s">
        <v>11</v>
      </c>
      <c r="H3" s="70"/>
      <c r="I3" s="70"/>
      <c r="J3" s="70"/>
      <c r="K3" s="70" t="s">
        <v>161</v>
      </c>
      <c r="L3" s="70" t="s">
        <v>3</v>
      </c>
      <c r="M3" s="57" t="s">
        <v>2</v>
      </c>
    </row>
    <row r="4" spans="1:13" s="1" customFormat="1" ht="21" customHeight="1" thickBot="1">
      <c r="A4" s="67"/>
      <c r="B4" s="69"/>
      <c r="C4" s="69"/>
      <c r="D4" s="69"/>
      <c r="E4" s="69"/>
      <c r="F4" s="69"/>
      <c r="G4" s="2">
        <v>1</v>
      </c>
      <c r="H4" s="2">
        <v>2</v>
      </c>
      <c r="I4" s="2">
        <v>3</v>
      </c>
      <c r="J4" s="2" t="s">
        <v>5</v>
      </c>
      <c r="K4" s="69"/>
      <c r="L4" s="69"/>
      <c r="M4" s="58"/>
    </row>
    <row r="5" spans="1:12" ht="15">
      <c r="A5" s="59" t="s">
        <v>14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2.75">
      <c r="A6" s="6" t="s">
        <v>16</v>
      </c>
      <c r="B6" s="6" t="s">
        <v>17</v>
      </c>
      <c r="C6" s="6" t="s">
        <v>18</v>
      </c>
      <c r="D6" s="6" t="str">
        <f>"0,8974"</f>
        <v>0,8974</v>
      </c>
      <c r="E6" s="6" t="s">
        <v>19</v>
      </c>
      <c r="F6" s="6" t="s">
        <v>20</v>
      </c>
      <c r="G6" s="7" t="s">
        <v>21</v>
      </c>
      <c r="H6" s="7" t="s">
        <v>21</v>
      </c>
      <c r="I6" s="8" t="s">
        <v>21</v>
      </c>
      <c r="J6" s="7"/>
      <c r="K6" s="6" t="str">
        <f>"90,0"</f>
        <v>90,0</v>
      </c>
      <c r="L6" s="8" t="str">
        <f>"80,7615"</f>
        <v>80,7615</v>
      </c>
      <c r="M6" s="6" t="s">
        <v>27</v>
      </c>
    </row>
    <row r="8" spans="1:12" ht="15">
      <c r="A8" s="72" t="s">
        <v>139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3" ht="12.75">
      <c r="A9" s="6" t="s">
        <v>289</v>
      </c>
      <c r="B9" s="6" t="s">
        <v>290</v>
      </c>
      <c r="C9" s="6" t="s">
        <v>291</v>
      </c>
      <c r="D9" s="6" t="str">
        <f>"0,5712"</f>
        <v>0,5712</v>
      </c>
      <c r="E9" s="6" t="s">
        <v>292</v>
      </c>
      <c r="F9" s="6" t="s">
        <v>143</v>
      </c>
      <c r="G9" s="7" t="s">
        <v>310</v>
      </c>
      <c r="H9" s="8" t="s">
        <v>310</v>
      </c>
      <c r="I9" s="8" t="s">
        <v>411</v>
      </c>
      <c r="J9" s="7"/>
      <c r="K9" s="6" t="str">
        <f>"205,0"</f>
        <v>205,0</v>
      </c>
      <c r="L9" s="8" t="str">
        <f>"117,0960"</f>
        <v>117,0960</v>
      </c>
      <c r="M9" s="6" t="s">
        <v>293</v>
      </c>
    </row>
    <row r="11" spans="5:6" ht="12.75">
      <c r="E11" s="42" t="s">
        <v>76</v>
      </c>
      <c r="F11" s="5" t="s">
        <v>488</v>
      </c>
    </row>
    <row r="12" spans="5:6" ht="12.75">
      <c r="E12" s="42" t="s">
        <v>77</v>
      </c>
      <c r="F12" s="5" t="s">
        <v>489</v>
      </c>
    </row>
    <row r="13" spans="5:6" ht="12.75">
      <c r="E13" s="42" t="s">
        <v>78</v>
      </c>
      <c r="F13" s="5" t="s">
        <v>490</v>
      </c>
    </row>
    <row r="14" spans="5:6" ht="12.75">
      <c r="E14" s="42" t="s">
        <v>79</v>
      </c>
      <c r="F14" s="5" t="s">
        <v>491</v>
      </c>
    </row>
    <row r="15" spans="5:6" ht="12.75">
      <c r="E15" s="42" t="s">
        <v>79</v>
      </c>
      <c r="F15" s="5" t="s">
        <v>492</v>
      </c>
    </row>
    <row r="16" spans="5:6" ht="12.75">
      <c r="E16" s="42" t="s">
        <v>80</v>
      </c>
      <c r="F16" s="5" t="s">
        <v>493</v>
      </c>
    </row>
    <row r="17" ht="12.75">
      <c r="E17" s="42"/>
    </row>
    <row r="19" spans="1:2" ht="18">
      <c r="A19" s="16" t="s">
        <v>81</v>
      </c>
      <c r="B19" s="16"/>
    </row>
    <row r="20" spans="1:2" ht="15">
      <c r="A20" s="17" t="s">
        <v>82</v>
      </c>
      <c r="B20" s="17"/>
    </row>
    <row r="21" spans="1:2" ht="14.25">
      <c r="A21" s="19"/>
      <c r="B21" s="20" t="s">
        <v>83</v>
      </c>
    </row>
    <row r="22" spans="1:5" ht="15">
      <c r="A22" s="21" t="s">
        <v>84</v>
      </c>
      <c r="B22" s="21" t="s">
        <v>85</v>
      </c>
      <c r="C22" s="21" t="s">
        <v>86</v>
      </c>
      <c r="D22" s="21" t="s">
        <v>87</v>
      </c>
      <c r="E22" s="21" t="s">
        <v>88</v>
      </c>
    </row>
    <row r="23" spans="1:5" ht="12.75">
      <c r="A23" s="18" t="s">
        <v>15</v>
      </c>
      <c r="B23" s="5" t="s">
        <v>83</v>
      </c>
      <c r="C23" s="5" t="s">
        <v>89</v>
      </c>
      <c r="D23" s="5" t="s">
        <v>21</v>
      </c>
      <c r="E23" s="22" t="s">
        <v>474</v>
      </c>
    </row>
    <row r="26" spans="1:2" ht="15">
      <c r="A26" s="17" t="s">
        <v>95</v>
      </c>
      <c r="B26" s="17"/>
    </row>
    <row r="27" spans="1:2" ht="14.25">
      <c r="A27" s="19"/>
      <c r="B27" s="20" t="s">
        <v>83</v>
      </c>
    </row>
    <row r="28" spans="1:5" ht="15">
      <c r="A28" s="21" t="s">
        <v>84</v>
      </c>
      <c r="B28" s="21" t="s">
        <v>85</v>
      </c>
      <c r="C28" s="21" t="s">
        <v>86</v>
      </c>
      <c r="D28" s="21" t="s">
        <v>87</v>
      </c>
      <c r="E28" s="21" t="s">
        <v>88</v>
      </c>
    </row>
    <row r="29" spans="1:5" ht="12.75">
      <c r="A29" s="18" t="s">
        <v>288</v>
      </c>
      <c r="B29" s="5" t="s">
        <v>83</v>
      </c>
      <c r="C29" s="5" t="s">
        <v>317</v>
      </c>
      <c r="D29" s="5" t="s">
        <v>411</v>
      </c>
      <c r="E29" s="22" t="s">
        <v>475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6.00390625" style="5" bestFit="1" customWidth="1"/>
    <col min="2" max="2" width="27.375" style="5" bestFit="1" customWidth="1"/>
    <col min="3" max="3" width="10.625" style="5" bestFit="1" customWidth="1"/>
    <col min="4" max="4" width="22.75390625" style="5" bestFit="1" customWidth="1"/>
    <col min="5" max="5" width="24.125" style="5" bestFit="1" customWidth="1"/>
    <col min="6" max="6" width="10.00390625" style="4" customWidth="1"/>
    <col min="7" max="7" width="10.75390625" style="32" customWidth="1"/>
    <col min="8" max="8" width="7.875" style="5" bestFit="1" customWidth="1"/>
    <col min="9" max="9" width="9.625" style="4" bestFit="1" customWidth="1"/>
    <col min="10" max="10" width="10.875" style="5" bestFit="1" customWidth="1"/>
    <col min="11" max="16384" width="9.125" style="4" customWidth="1"/>
  </cols>
  <sheetData>
    <row r="1" spans="1:10" s="3" customFormat="1" ht="28.5" customHeight="1">
      <c r="A1" s="60" t="s">
        <v>697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s="3" customFormat="1" ht="75.75" customHeight="1" thickBot="1">
      <c r="A2" s="63"/>
      <c r="B2" s="64"/>
      <c r="C2" s="64"/>
      <c r="D2" s="64"/>
      <c r="E2" s="64"/>
      <c r="F2" s="64"/>
      <c r="G2" s="64"/>
      <c r="H2" s="64"/>
      <c r="I2" s="64"/>
      <c r="J2" s="65"/>
    </row>
    <row r="3" spans="1:10" s="1" customFormat="1" ht="15">
      <c r="A3" s="66" t="s">
        <v>0</v>
      </c>
      <c r="B3" s="68" t="s">
        <v>6</v>
      </c>
      <c r="C3" s="68" t="s">
        <v>7</v>
      </c>
      <c r="D3" s="70" t="s">
        <v>4</v>
      </c>
      <c r="E3" s="70" t="s">
        <v>8</v>
      </c>
      <c r="F3" s="70" t="s">
        <v>538</v>
      </c>
      <c r="G3" s="70"/>
      <c r="H3" s="70" t="s">
        <v>539</v>
      </c>
      <c r="I3" s="70" t="s">
        <v>3</v>
      </c>
      <c r="J3" s="57" t="s">
        <v>2</v>
      </c>
    </row>
    <row r="4" spans="1:10" s="1" customFormat="1" ht="15.75" thickBot="1">
      <c r="A4" s="67"/>
      <c r="B4" s="69"/>
      <c r="C4" s="69"/>
      <c r="D4" s="69"/>
      <c r="E4" s="69"/>
      <c r="F4" s="2" t="s">
        <v>540</v>
      </c>
      <c r="G4" s="31" t="s">
        <v>541</v>
      </c>
      <c r="H4" s="69"/>
      <c r="I4" s="69"/>
      <c r="J4" s="58"/>
    </row>
    <row r="5" spans="1:9" ht="15">
      <c r="A5" s="59" t="s">
        <v>58</v>
      </c>
      <c r="B5" s="59"/>
      <c r="C5" s="59"/>
      <c r="D5" s="59"/>
      <c r="E5" s="59"/>
      <c r="F5" s="59"/>
      <c r="G5" s="59"/>
      <c r="H5" s="59"/>
      <c r="I5" s="59"/>
    </row>
    <row r="6" spans="1:10" ht="12.75">
      <c r="A6" s="6" t="s">
        <v>679</v>
      </c>
      <c r="B6" s="6" t="s">
        <v>708</v>
      </c>
      <c r="C6" s="6" t="s">
        <v>680</v>
      </c>
      <c r="D6" s="6" t="s">
        <v>33</v>
      </c>
      <c r="E6" s="6" t="s">
        <v>34</v>
      </c>
      <c r="F6" s="8" t="s">
        <v>353</v>
      </c>
      <c r="G6" s="33">
        <v>15</v>
      </c>
      <c r="H6" s="6" t="s">
        <v>681</v>
      </c>
      <c r="I6" s="8"/>
      <c r="J6" s="6" t="s">
        <v>57</v>
      </c>
    </row>
    <row r="8" spans="4:5" ht="12.75">
      <c r="D8" s="42" t="s">
        <v>76</v>
      </c>
      <c r="E8" s="5" t="s">
        <v>488</v>
      </c>
    </row>
    <row r="9" spans="4:5" ht="12.75">
      <c r="D9" s="42" t="s">
        <v>77</v>
      </c>
      <c r="E9" s="5" t="s">
        <v>489</v>
      </c>
    </row>
    <row r="10" spans="4:5" ht="12.75">
      <c r="D10" s="42" t="s">
        <v>78</v>
      </c>
      <c r="E10" s="5" t="s">
        <v>490</v>
      </c>
    </row>
    <row r="11" spans="4:5" ht="12.75">
      <c r="D11" s="42" t="s">
        <v>79</v>
      </c>
      <c r="E11" s="5" t="s">
        <v>491</v>
      </c>
    </row>
    <row r="12" spans="4:5" ht="12.75">
      <c r="D12" s="42" t="s">
        <v>79</v>
      </c>
      <c r="E12" s="5" t="s">
        <v>492</v>
      </c>
    </row>
    <row r="13" spans="4:5" ht="12.75">
      <c r="D13" s="42" t="s">
        <v>80</v>
      </c>
      <c r="E13" s="5" t="s">
        <v>493</v>
      </c>
    </row>
    <row r="14" ht="15">
      <c r="D14" s="14"/>
    </row>
    <row r="16" spans="1:2" ht="18">
      <c r="A16" s="16"/>
      <c r="B16" s="16"/>
    </row>
    <row r="17" spans="1:2" ht="15">
      <c r="A17" s="17"/>
      <c r="B17" s="17"/>
    </row>
    <row r="18" spans="1:5" ht="14.25">
      <c r="A18" s="43"/>
      <c r="B18" s="44"/>
      <c r="C18" s="45"/>
      <c r="D18" s="45"/>
      <c r="E18" s="45"/>
    </row>
    <row r="19" spans="1:5" ht="15">
      <c r="A19" s="46"/>
      <c r="B19" s="46"/>
      <c r="C19" s="46"/>
      <c r="D19" s="46"/>
      <c r="E19" s="45"/>
    </row>
    <row r="20" spans="1:5" ht="12.75">
      <c r="A20" s="47"/>
      <c r="B20" s="45"/>
      <c r="C20" s="45"/>
      <c r="D20" s="48"/>
      <c r="E20" s="45"/>
    </row>
    <row r="21" spans="1:5" ht="12.75">
      <c r="A21" s="47"/>
      <c r="B21" s="45"/>
      <c r="C21" s="45"/>
      <c r="D21" s="48"/>
      <c r="E21" s="45"/>
    </row>
    <row r="22" spans="1:5" ht="12.75">
      <c r="A22" s="45"/>
      <c r="B22" s="45"/>
      <c r="C22" s="45"/>
      <c r="D22" s="45"/>
      <c r="E22" s="45"/>
    </row>
    <row r="23" spans="1:5" ht="12.75">
      <c r="A23" s="45"/>
      <c r="B23" s="45"/>
      <c r="C23" s="45"/>
      <c r="D23" s="45"/>
      <c r="E23" s="45"/>
    </row>
    <row r="24" spans="1:5" ht="12.75">
      <c r="A24" s="45"/>
      <c r="B24" s="45"/>
      <c r="C24" s="45"/>
      <c r="D24" s="45"/>
      <c r="E24" s="45"/>
    </row>
    <row r="25" spans="1:5" ht="12.75">
      <c r="A25" s="45"/>
      <c r="B25" s="45"/>
      <c r="C25" s="45"/>
      <c r="D25" s="45"/>
      <c r="E25" s="45"/>
    </row>
    <row r="26" spans="1:5" ht="12.75">
      <c r="A26" s="45"/>
      <c r="B26" s="45"/>
      <c r="C26" s="45"/>
      <c r="D26" s="45"/>
      <c r="E26" s="45"/>
    </row>
    <row r="27" spans="1:5" ht="12.75">
      <c r="A27" s="45"/>
      <c r="B27" s="45"/>
      <c r="C27" s="45"/>
      <c r="D27" s="45"/>
      <c r="E27" s="45"/>
    </row>
  </sheetData>
  <sheetProtection/>
  <mergeCells count="11">
    <mergeCell ref="J3:J4"/>
    <mergeCell ref="A5:I5"/>
    <mergeCell ref="A1:J2"/>
    <mergeCell ref="A3:A4"/>
    <mergeCell ref="B3:B4"/>
    <mergeCell ref="C3:C4"/>
    <mergeCell ref="D3:D4"/>
    <mergeCell ref="E3:E4"/>
    <mergeCell ref="F3:G3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11" sqref="E11:E16"/>
    </sheetView>
  </sheetViews>
  <sheetFormatPr defaultColWidth="9.00390625" defaultRowHeight="12.75"/>
  <cols>
    <col min="1" max="1" width="26.00390625" style="5" bestFit="1" customWidth="1"/>
    <col min="2" max="2" width="28.37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4.7539062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14.375" style="5" bestFit="1" customWidth="1"/>
    <col min="14" max="16384" width="9.125" style="4" customWidth="1"/>
  </cols>
  <sheetData>
    <row r="1" spans="1:13" s="3" customFormat="1" ht="28.5" customHeight="1">
      <c r="A1" s="60" t="s">
        <v>465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3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70" t="s">
        <v>10</v>
      </c>
      <c r="E3" s="70" t="s">
        <v>4</v>
      </c>
      <c r="F3" s="70" t="s">
        <v>8</v>
      </c>
      <c r="G3" s="70" t="s">
        <v>11</v>
      </c>
      <c r="H3" s="70"/>
      <c r="I3" s="70"/>
      <c r="J3" s="70"/>
      <c r="K3" s="70" t="s">
        <v>161</v>
      </c>
      <c r="L3" s="70" t="s">
        <v>3</v>
      </c>
      <c r="M3" s="57" t="s">
        <v>2</v>
      </c>
    </row>
    <row r="4" spans="1:13" s="1" customFormat="1" ht="21" customHeight="1" thickBot="1">
      <c r="A4" s="67"/>
      <c r="B4" s="69"/>
      <c r="C4" s="69"/>
      <c r="D4" s="69"/>
      <c r="E4" s="69"/>
      <c r="F4" s="69"/>
      <c r="G4" s="2">
        <v>1</v>
      </c>
      <c r="H4" s="2">
        <v>2</v>
      </c>
      <c r="I4" s="2">
        <v>3</v>
      </c>
      <c r="J4" s="2" t="s">
        <v>5</v>
      </c>
      <c r="K4" s="69"/>
      <c r="L4" s="69"/>
      <c r="M4" s="58"/>
    </row>
    <row r="5" spans="1:12" ht="15">
      <c r="A5" s="59" t="s">
        <v>110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2.75">
      <c r="A6" s="6" t="s">
        <v>467</v>
      </c>
      <c r="B6" s="6" t="s">
        <v>468</v>
      </c>
      <c r="C6" s="6" t="s">
        <v>469</v>
      </c>
      <c r="D6" s="6" t="str">
        <f>"0,6212"</f>
        <v>0,6212</v>
      </c>
      <c r="E6" s="6" t="s">
        <v>33</v>
      </c>
      <c r="F6" s="6" t="s">
        <v>34</v>
      </c>
      <c r="G6" s="8" t="s">
        <v>56</v>
      </c>
      <c r="H6" s="8" t="s">
        <v>386</v>
      </c>
      <c r="I6" s="8" t="s">
        <v>117</v>
      </c>
      <c r="J6" s="7"/>
      <c r="K6" s="6" t="str">
        <f>"190,0"</f>
        <v>190,0</v>
      </c>
      <c r="L6" s="8" t="str">
        <f>"120,3789"</f>
        <v>120,3789</v>
      </c>
      <c r="M6" s="6" t="s">
        <v>470</v>
      </c>
    </row>
    <row r="8" spans="1:12" ht="15">
      <c r="A8" s="72" t="s">
        <v>58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3" ht="12.75">
      <c r="A9" s="6" t="s">
        <v>171</v>
      </c>
      <c r="B9" s="6" t="s">
        <v>172</v>
      </c>
      <c r="C9" s="6" t="s">
        <v>173</v>
      </c>
      <c r="D9" s="6" t="str">
        <f>"0,6047"</f>
        <v>0,6047</v>
      </c>
      <c r="E9" s="6" t="s">
        <v>19</v>
      </c>
      <c r="F9" s="6" t="s">
        <v>20</v>
      </c>
      <c r="G9" s="7" t="s">
        <v>65</v>
      </c>
      <c r="H9" s="8" t="s">
        <v>65</v>
      </c>
      <c r="I9" s="8" t="s">
        <v>222</v>
      </c>
      <c r="J9" s="7"/>
      <c r="K9" s="6" t="str">
        <f>"130,0"</f>
        <v>130,0</v>
      </c>
      <c r="L9" s="8" t="str">
        <f>"78,6175"</f>
        <v>78,6175</v>
      </c>
      <c r="M9" s="6" t="s">
        <v>27</v>
      </c>
    </row>
    <row r="11" spans="5:6" ht="12.75">
      <c r="E11" s="42" t="s">
        <v>76</v>
      </c>
      <c r="F11" s="5" t="s">
        <v>488</v>
      </c>
    </row>
    <row r="12" spans="5:6" ht="12.75">
      <c r="E12" s="42" t="s">
        <v>77</v>
      </c>
      <c r="F12" s="5" t="s">
        <v>489</v>
      </c>
    </row>
    <row r="13" spans="5:6" ht="12.75">
      <c r="E13" s="42" t="s">
        <v>78</v>
      </c>
      <c r="F13" s="5" t="s">
        <v>490</v>
      </c>
    </row>
    <row r="14" spans="5:6" ht="12.75">
      <c r="E14" s="42" t="s">
        <v>79</v>
      </c>
      <c r="F14" s="5" t="s">
        <v>491</v>
      </c>
    </row>
    <row r="15" spans="5:6" ht="12.75">
      <c r="E15" s="42" t="s">
        <v>79</v>
      </c>
      <c r="F15" s="5" t="s">
        <v>492</v>
      </c>
    </row>
    <row r="16" spans="5:6" ht="12.75">
      <c r="E16" s="42" t="s">
        <v>80</v>
      </c>
      <c r="F16" s="5" t="s">
        <v>493</v>
      </c>
    </row>
    <row r="17" ht="15">
      <c r="E17" s="14"/>
    </row>
    <row r="19" spans="1:2" ht="18">
      <c r="A19" s="16" t="s">
        <v>81</v>
      </c>
      <c r="B19" s="16"/>
    </row>
    <row r="20" spans="1:2" ht="15">
      <c r="A20" s="17" t="s">
        <v>95</v>
      </c>
      <c r="B20" s="17"/>
    </row>
    <row r="21" spans="1:2" ht="14.25">
      <c r="A21" s="19"/>
      <c r="B21" s="20" t="s">
        <v>101</v>
      </c>
    </row>
    <row r="22" spans="1:5" ht="15">
      <c r="A22" s="21" t="s">
        <v>84</v>
      </c>
      <c r="B22" s="21" t="s">
        <v>85</v>
      </c>
      <c r="C22" s="21" t="s">
        <v>86</v>
      </c>
      <c r="D22" s="21" t="s">
        <v>87</v>
      </c>
      <c r="E22" s="21" t="s">
        <v>88</v>
      </c>
    </row>
    <row r="23" spans="1:5" ht="12.75">
      <c r="A23" s="18" t="s">
        <v>466</v>
      </c>
      <c r="B23" s="5" t="s">
        <v>102</v>
      </c>
      <c r="C23" s="5" t="s">
        <v>122</v>
      </c>
      <c r="D23" s="5" t="s">
        <v>117</v>
      </c>
      <c r="E23" s="22" t="s">
        <v>471</v>
      </c>
    </row>
    <row r="25" spans="1:2" ht="14.25">
      <c r="A25" s="19"/>
      <c r="B25" s="20" t="s">
        <v>83</v>
      </c>
    </row>
    <row r="26" spans="1:5" ht="15">
      <c r="A26" s="21" t="s">
        <v>84</v>
      </c>
      <c r="B26" s="21" t="s">
        <v>85</v>
      </c>
      <c r="C26" s="21" t="s">
        <v>86</v>
      </c>
      <c r="D26" s="21" t="s">
        <v>87</v>
      </c>
      <c r="E26" s="21" t="s">
        <v>88</v>
      </c>
    </row>
    <row r="27" spans="1:5" ht="12.75">
      <c r="A27" s="18" t="s">
        <v>170</v>
      </c>
      <c r="B27" s="5" t="s">
        <v>83</v>
      </c>
      <c r="C27" s="5" t="s">
        <v>103</v>
      </c>
      <c r="D27" s="5" t="s">
        <v>222</v>
      </c>
      <c r="E27" s="22" t="s">
        <v>472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1.87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16.25390625" style="5" bestFit="1" customWidth="1"/>
    <col min="14" max="16384" width="9.125" style="4" customWidth="1"/>
  </cols>
  <sheetData>
    <row r="1" spans="1:13" s="3" customFormat="1" ht="28.5" customHeight="1">
      <c r="A1" s="60" t="s">
        <v>462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3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70" t="s">
        <v>10</v>
      </c>
      <c r="E3" s="70" t="s">
        <v>4</v>
      </c>
      <c r="F3" s="70" t="s">
        <v>8</v>
      </c>
      <c r="G3" s="70" t="s">
        <v>13</v>
      </c>
      <c r="H3" s="70"/>
      <c r="I3" s="70"/>
      <c r="J3" s="70"/>
      <c r="K3" s="70" t="s">
        <v>161</v>
      </c>
      <c r="L3" s="70" t="s">
        <v>3</v>
      </c>
      <c r="M3" s="57" t="s">
        <v>2</v>
      </c>
    </row>
    <row r="4" spans="1:13" s="1" customFormat="1" ht="21" customHeight="1" thickBot="1">
      <c r="A4" s="67"/>
      <c r="B4" s="69"/>
      <c r="C4" s="69"/>
      <c r="D4" s="69"/>
      <c r="E4" s="69"/>
      <c r="F4" s="69"/>
      <c r="G4" s="2">
        <v>1</v>
      </c>
      <c r="H4" s="2">
        <v>2</v>
      </c>
      <c r="I4" s="2">
        <v>3</v>
      </c>
      <c r="J4" s="2" t="s">
        <v>5</v>
      </c>
      <c r="K4" s="69"/>
      <c r="L4" s="69"/>
      <c r="M4" s="58"/>
    </row>
    <row r="5" spans="1:12" ht="15">
      <c r="A5" s="59" t="s">
        <v>110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2.75">
      <c r="A6" s="6" t="s">
        <v>164</v>
      </c>
      <c r="B6" s="6" t="s">
        <v>165</v>
      </c>
      <c r="C6" s="6" t="s">
        <v>166</v>
      </c>
      <c r="D6" s="6" t="str">
        <f>"0,6813"</f>
        <v>0,6813</v>
      </c>
      <c r="E6" s="6" t="s">
        <v>167</v>
      </c>
      <c r="F6" s="6" t="s">
        <v>34</v>
      </c>
      <c r="G6" s="8" t="s">
        <v>463</v>
      </c>
      <c r="H6" s="8" t="s">
        <v>74</v>
      </c>
      <c r="I6" s="7" t="s">
        <v>93</v>
      </c>
      <c r="J6" s="7"/>
      <c r="K6" s="6" t="str">
        <f>"230,0"</f>
        <v>230,0</v>
      </c>
      <c r="L6" s="8" t="str">
        <f>"156,7105"</f>
        <v>156,7105</v>
      </c>
      <c r="M6" s="6" t="s">
        <v>712</v>
      </c>
    </row>
    <row r="8" spans="5:6" ht="12.75">
      <c r="E8" s="42" t="s">
        <v>76</v>
      </c>
      <c r="F8" s="5" t="s">
        <v>488</v>
      </c>
    </row>
    <row r="9" spans="5:6" ht="12.75">
      <c r="E9" s="42" t="s">
        <v>77</v>
      </c>
      <c r="F9" s="5" t="s">
        <v>489</v>
      </c>
    </row>
    <row r="10" spans="5:6" ht="12.75">
      <c r="E10" s="42" t="s">
        <v>78</v>
      </c>
      <c r="F10" s="5" t="s">
        <v>490</v>
      </c>
    </row>
    <row r="11" spans="5:6" ht="12.75">
      <c r="E11" s="42" t="s">
        <v>79</v>
      </c>
      <c r="F11" s="5" t="s">
        <v>491</v>
      </c>
    </row>
    <row r="12" spans="5:6" ht="12.75">
      <c r="E12" s="42" t="s">
        <v>79</v>
      </c>
      <c r="F12" s="5" t="s">
        <v>492</v>
      </c>
    </row>
    <row r="13" spans="5:6" ht="12.75">
      <c r="E13" s="42" t="s">
        <v>80</v>
      </c>
      <c r="F13" s="5" t="s">
        <v>493</v>
      </c>
    </row>
    <row r="14" ht="12.75">
      <c r="E14" s="42"/>
    </row>
    <row r="16" spans="1:2" ht="18">
      <c r="A16" s="16" t="s">
        <v>81</v>
      </c>
      <c r="B16" s="16"/>
    </row>
    <row r="17" spans="1:2" ht="15">
      <c r="A17" s="17" t="s">
        <v>82</v>
      </c>
      <c r="B17" s="17"/>
    </row>
    <row r="18" spans="1:2" ht="14.25">
      <c r="A18" s="19"/>
      <c r="B18" s="20" t="s">
        <v>83</v>
      </c>
    </row>
    <row r="19" spans="1:5" ht="15">
      <c r="A19" s="21" t="s">
        <v>84</v>
      </c>
      <c r="B19" s="21" t="s">
        <v>85</v>
      </c>
      <c r="C19" s="21" t="s">
        <v>86</v>
      </c>
      <c r="D19" s="21" t="s">
        <v>87</v>
      </c>
      <c r="E19" s="21" t="s">
        <v>88</v>
      </c>
    </row>
    <row r="20" spans="1:5" ht="12.75">
      <c r="A20" s="18" t="s">
        <v>163</v>
      </c>
      <c r="B20" s="5" t="s">
        <v>83</v>
      </c>
      <c r="C20" s="5" t="s">
        <v>122</v>
      </c>
      <c r="D20" s="5" t="s">
        <v>74</v>
      </c>
      <c r="E20" s="22" t="s">
        <v>464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4.75390625" style="5" bestFit="1" customWidth="1"/>
    <col min="7" max="10" width="5.625" style="4" bestFit="1" customWidth="1"/>
    <col min="11" max="11" width="7.875" style="5" bestFit="1" customWidth="1"/>
    <col min="12" max="12" width="8.625" style="4" bestFit="1" customWidth="1"/>
    <col min="13" max="13" width="16.375" style="5" bestFit="1" customWidth="1"/>
    <col min="14" max="16384" width="9.125" style="4" customWidth="1"/>
  </cols>
  <sheetData>
    <row r="1" spans="1:13" s="3" customFormat="1" ht="28.5" customHeight="1">
      <c r="A1" s="60" t="s">
        <v>429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3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70" t="s">
        <v>10</v>
      </c>
      <c r="E3" s="70" t="s">
        <v>4</v>
      </c>
      <c r="F3" s="70" t="s">
        <v>8</v>
      </c>
      <c r="G3" s="70" t="s">
        <v>13</v>
      </c>
      <c r="H3" s="70"/>
      <c r="I3" s="70"/>
      <c r="J3" s="70"/>
      <c r="K3" s="70" t="s">
        <v>161</v>
      </c>
      <c r="L3" s="70" t="s">
        <v>3</v>
      </c>
      <c r="M3" s="57" t="s">
        <v>2</v>
      </c>
    </row>
    <row r="4" spans="1:13" s="1" customFormat="1" ht="21" customHeight="1" thickBot="1">
      <c r="A4" s="67"/>
      <c r="B4" s="69"/>
      <c r="C4" s="69"/>
      <c r="D4" s="69"/>
      <c r="E4" s="69"/>
      <c r="F4" s="69"/>
      <c r="G4" s="2">
        <v>1</v>
      </c>
      <c r="H4" s="2">
        <v>2</v>
      </c>
      <c r="I4" s="2">
        <v>3</v>
      </c>
      <c r="J4" s="2" t="s">
        <v>5</v>
      </c>
      <c r="K4" s="69"/>
      <c r="L4" s="69"/>
      <c r="M4" s="58"/>
    </row>
    <row r="5" spans="1:12" ht="15">
      <c r="A5" s="59" t="s">
        <v>14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2.75">
      <c r="A6" s="9" t="s">
        <v>431</v>
      </c>
      <c r="B6" s="9" t="s">
        <v>432</v>
      </c>
      <c r="C6" s="9" t="s">
        <v>433</v>
      </c>
      <c r="D6" s="9" t="str">
        <f>"0,8870"</f>
        <v>0,8870</v>
      </c>
      <c r="E6" s="9" t="s">
        <v>167</v>
      </c>
      <c r="F6" s="9" t="s">
        <v>34</v>
      </c>
      <c r="G6" s="10" t="s">
        <v>35</v>
      </c>
      <c r="H6" s="10" t="s">
        <v>47</v>
      </c>
      <c r="I6" s="11" t="s">
        <v>21</v>
      </c>
      <c r="J6" s="11"/>
      <c r="K6" s="9" t="str">
        <f>"80,0"</f>
        <v>80,0</v>
      </c>
      <c r="L6" s="10" t="str">
        <f>"70,9560"</f>
        <v>70,9560</v>
      </c>
      <c r="M6" s="9" t="s">
        <v>248</v>
      </c>
    </row>
    <row r="7" spans="1:13" ht="12.75">
      <c r="A7" s="23" t="s">
        <v>435</v>
      </c>
      <c r="B7" s="23" t="s">
        <v>436</v>
      </c>
      <c r="C7" s="23" t="s">
        <v>437</v>
      </c>
      <c r="D7" s="23" t="str">
        <f>"0,8781"</f>
        <v>0,8781</v>
      </c>
      <c r="E7" s="23" t="s">
        <v>167</v>
      </c>
      <c r="F7" s="23" t="s">
        <v>34</v>
      </c>
      <c r="G7" s="24" t="s">
        <v>186</v>
      </c>
      <c r="H7" s="25" t="s">
        <v>186</v>
      </c>
      <c r="I7" s="25" t="s">
        <v>35</v>
      </c>
      <c r="J7" s="24"/>
      <c r="K7" s="23" t="str">
        <f>"70,0"</f>
        <v>70,0</v>
      </c>
      <c r="L7" s="25" t="str">
        <f>"67,1258"</f>
        <v>67,1258</v>
      </c>
      <c r="M7" s="23" t="s">
        <v>248</v>
      </c>
    </row>
    <row r="8" spans="1:13" ht="12.75">
      <c r="A8" s="12" t="s">
        <v>182</v>
      </c>
      <c r="B8" s="12" t="s">
        <v>183</v>
      </c>
      <c r="C8" s="12" t="s">
        <v>184</v>
      </c>
      <c r="D8" s="12" t="str">
        <f>"0,9039"</f>
        <v>0,9039</v>
      </c>
      <c r="E8" s="12" t="s">
        <v>167</v>
      </c>
      <c r="F8" s="12" t="s">
        <v>34</v>
      </c>
      <c r="G8" s="15" t="s">
        <v>26</v>
      </c>
      <c r="H8" s="15" t="s">
        <v>118</v>
      </c>
      <c r="I8" s="15" t="s">
        <v>155</v>
      </c>
      <c r="J8" s="13" t="s">
        <v>65</v>
      </c>
      <c r="K8" s="12" t="str">
        <f>"117,5"</f>
        <v>117,5</v>
      </c>
      <c r="L8" s="15" t="str">
        <f>"192,2369"</f>
        <v>192,2369</v>
      </c>
      <c r="M8" s="12" t="s">
        <v>187</v>
      </c>
    </row>
    <row r="10" spans="1:12" ht="15">
      <c r="A10" s="72" t="s">
        <v>14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3" ht="12.75">
      <c r="A11" s="6" t="s">
        <v>439</v>
      </c>
      <c r="B11" s="6" t="s">
        <v>440</v>
      </c>
      <c r="C11" s="6" t="s">
        <v>18</v>
      </c>
      <c r="D11" s="6" t="str">
        <f>"0,8564"</f>
        <v>0,8564</v>
      </c>
      <c r="E11" s="6" t="s">
        <v>19</v>
      </c>
      <c r="F11" s="6" t="s">
        <v>20</v>
      </c>
      <c r="G11" s="8" t="s">
        <v>118</v>
      </c>
      <c r="H11" s="7"/>
      <c r="I11" s="7"/>
      <c r="J11" s="7"/>
      <c r="K11" s="6" t="str">
        <f>"112,5"</f>
        <v>112,5</v>
      </c>
      <c r="L11" s="8" t="str">
        <f>"96,3450"</f>
        <v>96,3450</v>
      </c>
      <c r="M11" s="6" t="s">
        <v>27</v>
      </c>
    </row>
    <row r="13" spans="1:12" ht="15">
      <c r="A13" s="72" t="s">
        <v>42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3" ht="12.75">
      <c r="A14" s="6" t="s">
        <v>441</v>
      </c>
      <c r="B14" s="6" t="s">
        <v>53</v>
      </c>
      <c r="C14" s="6" t="s">
        <v>54</v>
      </c>
      <c r="D14" s="6" t="str">
        <f>"0,7423"</f>
        <v>0,7423</v>
      </c>
      <c r="E14" s="6" t="s">
        <v>33</v>
      </c>
      <c r="F14" s="6" t="s">
        <v>55</v>
      </c>
      <c r="G14" s="8" t="s">
        <v>214</v>
      </c>
      <c r="H14" s="8" t="s">
        <v>56</v>
      </c>
      <c r="I14" s="8" t="s">
        <v>63</v>
      </c>
      <c r="J14" s="7"/>
      <c r="K14" s="6" t="str">
        <f>"180,0"</f>
        <v>180,0</v>
      </c>
      <c r="L14" s="8" t="str">
        <f>"133,6230"</f>
        <v>133,6230</v>
      </c>
      <c r="M14" s="6" t="s">
        <v>57</v>
      </c>
    </row>
    <row r="16" spans="1:12" ht="15">
      <c r="A16" s="72" t="s">
        <v>110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3" ht="12.75">
      <c r="A17" s="6" t="s">
        <v>443</v>
      </c>
      <c r="B17" s="6" t="s">
        <v>444</v>
      </c>
      <c r="C17" s="6" t="s">
        <v>445</v>
      </c>
      <c r="D17" s="6" t="str">
        <f>"0,6284"</f>
        <v>0,6284</v>
      </c>
      <c r="E17" s="6" t="s">
        <v>19</v>
      </c>
      <c r="F17" s="6" t="s">
        <v>20</v>
      </c>
      <c r="G17" s="8" t="s">
        <v>119</v>
      </c>
      <c r="H17" s="8" t="s">
        <v>99</v>
      </c>
      <c r="I17" s="7" t="s">
        <v>67</v>
      </c>
      <c r="J17" s="7"/>
      <c r="K17" s="6" t="str">
        <f>"217,5"</f>
        <v>217,5</v>
      </c>
      <c r="L17" s="8" t="str">
        <f>"136,6770"</f>
        <v>136,6770</v>
      </c>
      <c r="M17" s="6" t="s">
        <v>27</v>
      </c>
    </row>
    <row r="19" spans="1:12" ht="15">
      <c r="A19" s="72" t="s">
        <v>58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3" ht="12.75">
      <c r="A20" s="6" t="s">
        <v>446</v>
      </c>
      <c r="B20" s="6" t="s">
        <v>283</v>
      </c>
      <c r="C20" s="6" t="s">
        <v>274</v>
      </c>
      <c r="D20" s="6" t="str">
        <f>"0,5912"</f>
        <v>0,5912</v>
      </c>
      <c r="E20" s="6" t="s">
        <v>33</v>
      </c>
      <c r="F20" s="6" t="s">
        <v>143</v>
      </c>
      <c r="G20" s="8" t="s">
        <v>56</v>
      </c>
      <c r="H20" s="8" t="s">
        <v>447</v>
      </c>
      <c r="I20" s="7"/>
      <c r="J20" s="7"/>
      <c r="K20" s="6" t="str">
        <f>"187,5"</f>
        <v>187,5</v>
      </c>
      <c r="L20" s="8" t="str">
        <f>"176,2515"</f>
        <v>176,2515</v>
      </c>
      <c r="M20" s="6" t="s">
        <v>57</v>
      </c>
    </row>
    <row r="22" spans="1:12" ht="15">
      <c r="A22" s="72" t="s">
        <v>69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3" ht="12.75">
      <c r="A23" s="6" t="s">
        <v>449</v>
      </c>
      <c r="B23" s="6" t="s">
        <v>450</v>
      </c>
      <c r="C23" s="6" t="s">
        <v>451</v>
      </c>
      <c r="D23" s="6" t="str">
        <f>"0,5387"</f>
        <v>0,5387</v>
      </c>
      <c r="E23" s="6" t="s">
        <v>220</v>
      </c>
      <c r="F23" s="6" t="s">
        <v>34</v>
      </c>
      <c r="G23" s="8" t="s">
        <v>452</v>
      </c>
      <c r="H23" s="8" t="s">
        <v>425</v>
      </c>
      <c r="I23" s="7" t="s">
        <v>453</v>
      </c>
      <c r="J23" s="7"/>
      <c r="K23" s="6" t="str">
        <f>"300,0"</f>
        <v>300,0</v>
      </c>
      <c r="L23" s="8" t="str">
        <f>"161,6100"</f>
        <v>161,6100</v>
      </c>
      <c r="M23" s="6" t="s">
        <v>57</v>
      </c>
    </row>
    <row r="25" spans="5:6" ht="12.75">
      <c r="E25" s="42" t="s">
        <v>76</v>
      </c>
      <c r="F25" s="5" t="s">
        <v>488</v>
      </c>
    </row>
    <row r="26" spans="5:6" ht="12.75">
      <c r="E26" s="42" t="s">
        <v>77</v>
      </c>
      <c r="F26" s="5" t="s">
        <v>489</v>
      </c>
    </row>
    <row r="27" spans="5:6" ht="12.75">
      <c r="E27" s="42" t="s">
        <v>78</v>
      </c>
      <c r="F27" s="5" t="s">
        <v>490</v>
      </c>
    </row>
    <row r="28" spans="5:6" ht="12.75">
      <c r="E28" s="42" t="s">
        <v>79</v>
      </c>
      <c r="F28" s="5" t="s">
        <v>491</v>
      </c>
    </row>
    <row r="29" spans="5:6" ht="12.75">
      <c r="E29" s="42" t="s">
        <v>79</v>
      </c>
      <c r="F29" s="5" t="s">
        <v>492</v>
      </c>
    </row>
    <row r="30" spans="5:6" ht="12.75">
      <c r="E30" s="42" t="s">
        <v>80</v>
      </c>
      <c r="F30" s="5" t="s">
        <v>493</v>
      </c>
    </row>
    <row r="31" ht="12.75">
      <c r="E31" s="42"/>
    </row>
    <row r="33" spans="1:2" ht="18">
      <c r="A33" s="16" t="s">
        <v>81</v>
      </c>
      <c r="B33" s="16"/>
    </row>
    <row r="34" spans="1:2" ht="15">
      <c r="A34" s="17" t="s">
        <v>82</v>
      </c>
      <c r="B34" s="17"/>
    </row>
    <row r="35" spans="1:2" ht="14.25">
      <c r="A35" s="19"/>
      <c r="B35" s="20" t="s">
        <v>83</v>
      </c>
    </row>
    <row r="36" spans="1:5" ht="15">
      <c r="A36" s="21" t="s">
        <v>84</v>
      </c>
      <c r="B36" s="21" t="s">
        <v>85</v>
      </c>
      <c r="C36" s="21" t="s">
        <v>86</v>
      </c>
      <c r="D36" s="21" t="s">
        <v>87</v>
      </c>
      <c r="E36" s="21" t="s">
        <v>88</v>
      </c>
    </row>
    <row r="37" spans="1:5" ht="12.75">
      <c r="A37" s="18" t="s">
        <v>430</v>
      </c>
      <c r="B37" s="5" t="s">
        <v>83</v>
      </c>
      <c r="C37" s="5" t="s">
        <v>89</v>
      </c>
      <c r="D37" s="5" t="s">
        <v>47</v>
      </c>
      <c r="E37" s="22" t="s">
        <v>454</v>
      </c>
    </row>
    <row r="39" spans="1:2" ht="14.25">
      <c r="A39" s="19"/>
      <c r="B39" s="20" t="s">
        <v>120</v>
      </c>
    </row>
    <row r="40" spans="1:5" ht="15">
      <c r="A40" s="21" t="s">
        <v>84</v>
      </c>
      <c r="B40" s="21" t="s">
        <v>85</v>
      </c>
      <c r="C40" s="21" t="s">
        <v>86</v>
      </c>
      <c r="D40" s="21" t="s">
        <v>87</v>
      </c>
      <c r="E40" s="21" t="s">
        <v>88</v>
      </c>
    </row>
    <row r="41" spans="1:5" ht="12.75">
      <c r="A41" s="18" t="s">
        <v>181</v>
      </c>
      <c r="B41" s="5" t="s">
        <v>311</v>
      </c>
      <c r="C41" s="5" t="s">
        <v>89</v>
      </c>
      <c r="D41" s="5" t="s">
        <v>155</v>
      </c>
      <c r="E41" s="22" t="s">
        <v>455</v>
      </c>
    </row>
    <row r="42" spans="1:5" ht="12.75">
      <c r="A42" s="18" t="s">
        <v>434</v>
      </c>
      <c r="B42" s="5" t="s">
        <v>401</v>
      </c>
      <c r="C42" s="5" t="s">
        <v>89</v>
      </c>
      <c r="D42" s="5" t="s">
        <v>35</v>
      </c>
      <c r="E42" s="22" t="s">
        <v>456</v>
      </c>
    </row>
    <row r="45" spans="1:2" ht="15">
      <c r="A45" s="17" t="s">
        <v>95</v>
      </c>
      <c r="B45" s="17"/>
    </row>
    <row r="46" spans="1:2" ht="14.25">
      <c r="A46" s="19"/>
      <c r="B46" s="20" t="s">
        <v>83</v>
      </c>
    </row>
    <row r="47" spans="1:5" ht="15">
      <c r="A47" s="21" t="s">
        <v>84</v>
      </c>
      <c r="B47" s="21" t="s">
        <v>85</v>
      </c>
      <c r="C47" s="21" t="s">
        <v>86</v>
      </c>
      <c r="D47" s="21" t="s">
        <v>87</v>
      </c>
      <c r="E47" s="21" t="s">
        <v>88</v>
      </c>
    </row>
    <row r="48" spans="1:5" ht="12.75">
      <c r="A48" s="18" t="s">
        <v>448</v>
      </c>
      <c r="B48" s="5" t="s">
        <v>83</v>
      </c>
      <c r="C48" s="5" t="s">
        <v>106</v>
      </c>
      <c r="D48" s="5" t="s">
        <v>425</v>
      </c>
      <c r="E48" s="22" t="s">
        <v>457</v>
      </c>
    </row>
    <row r="49" spans="1:5" ht="12.75">
      <c r="A49" s="18" t="s">
        <v>442</v>
      </c>
      <c r="B49" s="5" t="s">
        <v>83</v>
      </c>
      <c r="C49" s="5" t="s">
        <v>122</v>
      </c>
      <c r="D49" s="5" t="s">
        <v>99</v>
      </c>
      <c r="E49" s="22" t="s">
        <v>458</v>
      </c>
    </row>
    <row r="50" spans="1:5" ht="12.75">
      <c r="A50" s="18" t="s">
        <v>52</v>
      </c>
      <c r="B50" s="5" t="s">
        <v>83</v>
      </c>
      <c r="C50" s="5" t="s">
        <v>98</v>
      </c>
      <c r="D50" s="5" t="s">
        <v>63</v>
      </c>
      <c r="E50" s="22" t="s">
        <v>459</v>
      </c>
    </row>
    <row r="51" spans="1:5" ht="12.75">
      <c r="A51" s="18" t="s">
        <v>438</v>
      </c>
      <c r="B51" s="5" t="s">
        <v>83</v>
      </c>
      <c r="C51" s="5" t="s">
        <v>89</v>
      </c>
      <c r="D51" s="5" t="s">
        <v>118</v>
      </c>
      <c r="E51" s="22" t="s">
        <v>460</v>
      </c>
    </row>
    <row r="53" spans="1:2" ht="14.25">
      <c r="A53" s="19"/>
      <c r="B53" s="20" t="s">
        <v>120</v>
      </c>
    </row>
    <row r="54" spans="1:5" ht="15">
      <c r="A54" s="21" t="s">
        <v>84</v>
      </c>
      <c r="B54" s="21" t="s">
        <v>85</v>
      </c>
      <c r="C54" s="21" t="s">
        <v>86</v>
      </c>
      <c r="D54" s="21" t="s">
        <v>87</v>
      </c>
      <c r="E54" s="21" t="s">
        <v>88</v>
      </c>
    </row>
    <row r="55" spans="1:5" ht="12.75">
      <c r="A55" s="18" t="s">
        <v>273</v>
      </c>
      <c r="B55" s="5" t="s">
        <v>158</v>
      </c>
      <c r="C55" s="5" t="s">
        <v>103</v>
      </c>
      <c r="D55" s="5" t="s">
        <v>447</v>
      </c>
      <c r="E55" s="22" t="s">
        <v>461</v>
      </c>
    </row>
  </sheetData>
  <sheetProtection/>
  <mergeCells count="17">
    <mergeCell ref="M3:M4"/>
    <mergeCell ref="A5:L5"/>
    <mergeCell ref="A10:L10"/>
    <mergeCell ref="A13:L13"/>
    <mergeCell ref="A1:M2"/>
    <mergeCell ref="A3:A4"/>
    <mergeCell ref="B3:B4"/>
    <mergeCell ref="C3:C4"/>
    <mergeCell ref="D3:D4"/>
    <mergeCell ref="E3:E4"/>
    <mergeCell ref="F3:F4"/>
    <mergeCell ref="G3:J3"/>
    <mergeCell ref="A16:L16"/>
    <mergeCell ref="A19:L19"/>
    <mergeCell ref="A22:L22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14" sqref="E14:E20"/>
    </sheetView>
  </sheetViews>
  <sheetFormatPr defaultColWidth="9.00390625" defaultRowHeight="12.75"/>
  <cols>
    <col min="1" max="1" width="27.75390625" style="5" bestFit="1" customWidth="1"/>
    <col min="2" max="2" width="28.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4.7539062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14.375" style="5" bestFit="1" customWidth="1"/>
    <col min="14" max="16384" width="9.125" style="4" customWidth="1"/>
  </cols>
  <sheetData>
    <row r="1" spans="1:13" s="3" customFormat="1" ht="28.5" customHeight="1">
      <c r="A1" s="60" t="s">
        <v>406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3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70" t="s">
        <v>10</v>
      </c>
      <c r="E3" s="70" t="s">
        <v>4</v>
      </c>
      <c r="F3" s="70" t="s">
        <v>8</v>
      </c>
      <c r="G3" s="70" t="s">
        <v>12</v>
      </c>
      <c r="H3" s="70"/>
      <c r="I3" s="70"/>
      <c r="J3" s="70"/>
      <c r="K3" s="70" t="s">
        <v>161</v>
      </c>
      <c r="L3" s="70" t="s">
        <v>3</v>
      </c>
      <c r="M3" s="57" t="s">
        <v>2</v>
      </c>
    </row>
    <row r="4" spans="1:13" s="1" customFormat="1" ht="21" customHeight="1" thickBot="1">
      <c r="A4" s="67"/>
      <c r="B4" s="69"/>
      <c r="C4" s="69"/>
      <c r="D4" s="69"/>
      <c r="E4" s="69"/>
      <c r="F4" s="69"/>
      <c r="G4" s="2">
        <v>1</v>
      </c>
      <c r="H4" s="2">
        <v>2</v>
      </c>
      <c r="I4" s="2">
        <v>3</v>
      </c>
      <c r="J4" s="2" t="s">
        <v>5</v>
      </c>
      <c r="K4" s="69"/>
      <c r="L4" s="69"/>
      <c r="M4" s="58"/>
    </row>
    <row r="5" spans="1:12" ht="15">
      <c r="A5" s="59" t="s">
        <v>58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2.75">
      <c r="A6" s="6" t="s">
        <v>695</v>
      </c>
      <c r="B6" s="6" t="s">
        <v>408</v>
      </c>
      <c r="C6" s="6" t="s">
        <v>409</v>
      </c>
      <c r="D6" s="6" t="str">
        <f>"0,6000"</f>
        <v>0,6000</v>
      </c>
      <c r="E6" s="6" t="s">
        <v>33</v>
      </c>
      <c r="F6" s="6" t="s">
        <v>410</v>
      </c>
      <c r="G6" s="8" t="s">
        <v>117</v>
      </c>
      <c r="H6" s="8" t="s">
        <v>411</v>
      </c>
      <c r="I6" s="7" t="s">
        <v>99</v>
      </c>
      <c r="J6" s="7"/>
      <c r="K6" s="6" t="str">
        <f>"205,0"</f>
        <v>205,0</v>
      </c>
      <c r="L6" s="8" t="str">
        <f>"123,0000"</f>
        <v>123,0000</v>
      </c>
      <c r="M6" s="6" t="s">
        <v>412</v>
      </c>
    </row>
    <row r="8" spans="1:12" ht="15">
      <c r="A8" s="72" t="s">
        <v>139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3" ht="12.75">
      <c r="A9" s="9" t="s">
        <v>694</v>
      </c>
      <c r="B9" s="9" t="s">
        <v>414</v>
      </c>
      <c r="C9" s="9" t="s">
        <v>415</v>
      </c>
      <c r="D9" s="9" t="str">
        <f>"0,5591"</f>
        <v>0,5591</v>
      </c>
      <c r="E9" s="9" t="s">
        <v>416</v>
      </c>
      <c r="F9" s="9" t="s">
        <v>34</v>
      </c>
      <c r="G9" s="10" t="s">
        <v>417</v>
      </c>
      <c r="H9" s="11" t="s">
        <v>418</v>
      </c>
      <c r="I9" s="11" t="s">
        <v>418</v>
      </c>
      <c r="J9" s="11"/>
      <c r="K9" s="9" t="str">
        <f>"265,0"</f>
        <v>265,0</v>
      </c>
      <c r="L9" s="10" t="str">
        <f>"148,1615"</f>
        <v>148,1615</v>
      </c>
      <c r="M9" s="9" t="s">
        <v>419</v>
      </c>
    </row>
    <row r="10" spans="1:13" ht="12.75">
      <c r="A10" s="12" t="s">
        <v>696</v>
      </c>
      <c r="B10" s="12" t="s">
        <v>420</v>
      </c>
      <c r="C10" s="12" t="s">
        <v>421</v>
      </c>
      <c r="D10" s="12" t="str">
        <f>"0,5582"</f>
        <v>0,5582</v>
      </c>
      <c r="E10" s="12" t="s">
        <v>416</v>
      </c>
      <c r="F10" s="12" t="s">
        <v>34</v>
      </c>
      <c r="G10" s="13" t="s">
        <v>63</v>
      </c>
      <c r="H10" s="13" t="s">
        <v>386</v>
      </c>
      <c r="I10" s="13" t="s">
        <v>310</v>
      </c>
      <c r="J10" s="13"/>
      <c r="K10" s="12" t="str">
        <f>"0.00"</f>
        <v>0.00</v>
      </c>
      <c r="L10" s="15" t="str">
        <f>"0,0000"</f>
        <v>0,0000</v>
      </c>
      <c r="M10" s="12" t="s">
        <v>57</v>
      </c>
    </row>
    <row r="12" spans="1:12" ht="15">
      <c r="A12" s="72" t="s">
        <v>302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3" ht="12.75">
      <c r="A13" s="6" t="s">
        <v>693</v>
      </c>
      <c r="B13" s="6" t="s">
        <v>423</v>
      </c>
      <c r="C13" s="6" t="s">
        <v>424</v>
      </c>
      <c r="D13" s="6" t="str">
        <f>"0,5214"</f>
        <v>0,5214</v>
      </c>
      <c r="E13" s="6" t="s">
        <v>416</v>
      </c>
      <c r="F13" s="6" t="s">
        <v>34</v>
      </c>
      <c r="G13" s="8" t="s">
        <v>418</v>
      </c>
      <c r="H13" s="7" t="s">
        <v>425</v>
      </c>
      <c r="I13" s="7" t="s">
        <v>425</v>
      </c>
      <c r="J13" s="7"/>
      <c r="K13" s="6" t="str">
        <f>"275,0"</f>
        <v>275,0</v>
      </c>
      <c r="L13" s="8" t="str">
        <f>"143,3850"</f>
        <v>143,3850</v>
      </c>
      <c r="M13" s="6" t="s">
        <v>419</v>
      </c>
    </row>
    <row r="14" ht="12.75">
      <c r="E14" s="42"/>
    </row>
    <row r="15" spans="5:6" ht="12.75">
      <c r="E15" s="42" t="s">
        <v>76</v>
      </c>
      <c r="F15" s="5" t="s">
        <v>488</v>
      </c>
    </row>
    <row r="16" spans="5:6" ht="12.75">
      <c r="E16" s="42" t="s">
        <v>77</v>
      </c>
      <c r="F16" s="5" t="s">
        <v>489</v>
      </c>
    </row>
    <row r="17" spans="5:6" ht="12.75">
      <c r="E17" s="42" t="s">
        <v>78</v>
      </c>
      <c r="F17" s="5" t="s">
        <v>490</v>
      </c>
    </row>
    <row r="18" spans="5:6" ht="12.75">
      <c r="E18" s="42" t="s">
        <v>79</v>
      </c>
      <c r="F18" s="5" t="s">
        <v>491</v>
      </c>
    </row>
    <row r="19" spans="5:6" ht="12.75">
      <c r="E19" s="42" t="s">
        <v>79</v>
      </c>
      <c r="F19" s="5" t="s">
        <v>492</v>
      </c>
    </row>
    <row r="20" spans="5:6" ht="12.75">
      <c r="E20" s="42" t="s">
        <v>80</v>
      </c>
      <c r="F20" s="5" t="s">
        <v>493</v>
      </c>
    </row>
    <row r="21" ht="15">
      <c r="E21" s="14"/>
    </row>
    <row r="23" spans="1:2" ht="18">
      <c r="A23" s="16" t="s">
        <v>81</v>
      </c>
      <c r="B23" s="16"/>
    </row>
    <row r="24" spans="1:2" ht="15">
      <c r="A24" s="17" t="s">
        <v>95</v>
      </c>
      <c r="B24" s="17"/>
    </row>
    <row r="25" spans="1:2" ht="14.25">
      <c r="A25" s="19"/>
      <c r="B25" s="20" t="s">
        <v>83</v>
      </c>
    </row>
    <row r="26" spans="1:5" ht="15">
      <c r="A26" s="21" t="s">
        <v>84</v>
      </c>
      <c r="B26" s="21" t="s">
        <v>85</v>
      </c>
      <c r="C26" s="21" t="s">
        <v>86</v>
      </c>
      <c r="D26" s="21" t="s">
        <v>87</v>
      </c>
      <c r="E26" s="21" t="s">
        <v>88</v>
      </c>
    </row>
    <row r="27" spans="1:5" ht="12.75">
      <c r="A27" s="18" t="s">
        <v>413</v>
      </c>
      <c r="B27" s="5" t="s">
        <v>83</v>
      </c>
      <c r="C27" s="5" t="s">
        <v>317</v>
      </c>
      <c r="D27" s="5" t="s">
        <v>417</v>
      </c>
      <c r="E27" s="22" t="s">
        <v>426</v>
      </c>
    </row>
    <row r="28" spans="1:5" ht="12.75">
      <c r="A28" s="18" t="s">
        <v>422</v>
      </c>
      <c r="B28" s="5" t="s">
        <v>83</v>
      </c>
      <c r="C28" s="5" t="s">
        <v>337</v>
      </c>
      <c r="D28" s="5" t="s">
        <v>418</v>
      </c>
      <c r="E28" s="22" t="s">
        <v>427</v>
      </c>
    </row>
    <row r="29" spans="1:5" ht="12.75">
      <c r="A29" s="18" t="s">
        <v>407</v>
      </c>
      <c r="B29" s="5" t="s">
        <v>83</v>
      </c>
      <c r="C29" s="5" t="s">
        <v>103</v>
      </c>
      <c r="D29" s="5" t="s">
        <v>411</v>
      </c>
      <c r="E29" s="22" t="s">
        <v>428</v>
      </c>
    </row>
  </sheetData>
  <sheetProtection/>
  <mergeCells count="14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0">
      <selection activeCell="O21" sqref="O21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6.2539062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16.375" style="5" bestFit="1" customWidth="1"/>
    <col min="14" max="16384" width="9.125" style="4" customWidth="1"/>
  </cols>
  <sheetData>
    <row r="1" spans="1:13" s="3" customFormat="1" ht="28.5" customHeight="1">
      <c r="A1" s="60" t="s">
        <v>340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3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70" t="s">
        <v>10</v>
      </c>
      <c r="E3" s="70" t="s">
        <v>4</v>
      </c>
      <c r="F3" s="70" t="s">
        <v>8</v>
      </c>
      <c r="G3" s="70" t="s">
        <v>12</v>
      </c>
      <c r="H3" s="70"/>
      <c r="I3" s="70"/>
      <c r="J3" s="70"/>
      <c r="K3" s="70" t="s">
        <v>161</v>
      </c>
      <c r="L3" s="70" t="s">
        <v>3</v>
      </c>
      <c r="M3" s="57" t="s">
        <v>2</v>
      </c>
    </row>
    <row r="4" spans="1:13" s="1" customFormat="1" ht="21" customHeight="1" thickBot="1">
      <c r="A4" s="67"/>
      <c r="B4" s="69"/>
      <c r="C4" s="69"/>
      <c r="D4" s="69"/>
      <c r="E4" s="69"/>
      <c r="F4" s="69"/>
      <c r="G4" s="2">
        <v>1</v>
      </c>
      <c r="H4" s="2">
        <v>2</v>
      </c>
      <c r="I4" s="2">
        <v>3</v>
      </c>
      <c r="J4" s="2" t="s">
        <v>5</v>
      </c>
      <c r="K4" s="69"/>
      <c r="L4" s="69"/>
      <c r="M4" s="58"/>
    </row>
    <row r="5" spans="1:12" ht="15">
      <c r="A5" s="59" t="s">
        <v>28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2.75">
      <c r="A6" s="6" t="s">
        <v>342</v>
      </c>
      <c r="B6" s="6" t="s">
        <v>343</v>
      </c>
      <c r="C6" s="6" t="s">
        <v>344</v>
      </c>
      <c r="D6" s="6" t="str">
        <f>"0,7010"</f>
        <v>0,7010</v>
      </c>
      <c r="E6" s="6" t="s">
        <v>33</v>
      </c>
      <c r="F6" s="6" t="s">
        <v>345</v>
      </c>
      <c r="G6" s="8" t="s">
        <v>222</v>
      </c>
      <c r="H6" s="8" t="s">
        <v>132</v>
      </c>
      <c r="I6" s="7"/>
      <c r="J6" s="7"/>
      <c r="K6" s="6" t="str">
        <f>"142,5"</f>
        <v>142,5</v>
      </c>
      <c r="L6" s="8" t="str">
        <f>"99,8854"</f>
        <v>99,8854</v>
      </c>
      <c r="M6" s="6" t="s">
        <v>215</v>
      </c>
    </row>
    <row r="8" spans="1:12" ht="15">
      <c r="A8" s="72" t="s">
        <v>110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3" ht="12.75">
      <c r="A9" s="6" t="s">
        <v>347</v>
      </c>
      <c r="B9" s="6" t="s">
        <v>266</v>
      </c>
      <c r="C9" s="6" t="s">
        <v>234</v>
      </c>
      <c r="D9" s="6" t="str">
        <f>"0,6193"</f>
        <v>0,6193</v>
      </c>
      <c r="E9" s="6" t="s">
        <v>33</v>
      </c>
      <c r="F9" s="6" t="s">
        <v>348</v>
      </c>
      <c r="G9" s="8" t="s">
        <v>222</v>
      </c>
      <c r="H9" s="8" t="s">
        <v>131</v>
      </c>
      <c r="I9" s="7" t="s">
        <v>201</v>
      </c>
      <c r="J9" s="7"/>
      <c r="K9" s="6" t="str">
        <f>"135,0"</f>
        <v>135,0</v>
      </c>
      <c r="L9" s="8" t="str">
        <f>"83,6055"</f>
        <v>83,6055</v>
      </c>
      <c r="M9" s="6" t="s">
        <v>57</v>
      </c>
    </row>
    <row r="11" spans="1:12" ht="15">
      <c r="A11" s="72" t="s">
        <v>139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3" ht="12.75">
      <c r="A12" s="9" t="s">
        <v>350</v>
      </c>
      <c r="B12" s="9" t="s">
        <v>351</v>
      </c>
      <c r="C12" s="9" t="s">
        <v>352</v>
      </c>
      <c r="D12" s="9" t="str">
        <f>"0,5583"</f>
        <v>0,5583</v>
      </c>
      <c r="E12" s="9" t="s">
        <v>33</v>
      </c>
      <c r="F12" s="9" t="s">
        <v>55</v>
      </c>
      <c r="G12" s="10" t="s">
        <v>63</v>
      </c>
      <c r="H12" s="10" t="s">
        <v>353</v>
      </c>
      <c r="I12" s="11" t="s">
        <v>64</v>
      </c>
      <c r="J12" s="11"/>
      <c r="K12" s="9" t="str">
        <f>"192,5"</f>
        <v>192,5</v>
      </c>
      <c r="L12" s="10" t="str">
        <f>"107,4728"</f>
        <v>107,4728</v>
      </c>
      <c r="M12" s="9" t="s">
        <v>57</v>
      </c>
    </row>
    <row r="13" spans="1:13" ht="12.75">
      <c r="A13" s="12" t="s">
        <v>355</v>
      </c>
      <c r="B13" s="12" t="s">
        <v>356</v>
      </c>
      <c r="C13" s="12" t="s">
        <v>357</v>
      </c>
      <c r="D13" s="12" t="str">
        <f>"0,5803"</f>
        <v>0,5803</v>
      </c>
      <c r="E13" s="12" t="s">
        <v>33</v>
      </c>
      <c r="F13" s="12" t="s">
        <v>34</v>
      </c>
      <c r="G13" s="13" t="s">
        <v>241</v>
      </c>
      <c r="H13" s="15" t="s">
        <v>262</v>
      </c>
      <c r="I13" s="15" t="s">
        <v>207</v>
      </c>
      <c r="J13" s="13"/>
      <c r="K13" s="12" t="str">
        <f>"167,5"</f>
        <v>167,5</v>
      </c>
      <c r="L13" s="15" t="str">
        <f>"98,9413"</f>
        <v>98,9413</v>
      </c>
      <c r="M13" s="12" t="s">
        <v>215</v>
      </c>
    </row>
    <row r="15" spans="1:12" ht="15">
      <c r="A15" s="72" t="s">
        <v>69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3" ht="12.75">
      <c r="A16" s="9" t="s">
        <v>359</v>
      </c>
      <c r="B16" s="9" t="s">
        <v>360</v>
      </c>
      <c r="C16" s="9" t="s">
        <v>361</v>
      </c>
      <c r="D16" s="9" t="str">
        <f>"0,5446"</f>
        <v>0,5446</v>
      </c>
      <c r="E16" s="9" t="s">
        <v>292</v>
      </c>
      <c r="F16" s="9" t="s">
        <v>143</v>
      </c>
      <c r="G16" s="10" t="s">
        <v>63</v>
      </c>
      <c r="H16" s="10" t="s">
        <v>117</v>
      </c>
      <c r="I16" s="11" t="s">
        <v>353</v>
      </c>
      <c r="J16" s="11"/>
      <c r="K16" s="9" t="str">
        <f>"190,0"</f>
        <v>190,0</v>
      </c>
      <c r="L16" s="10" t="str">
        <f>"103,4740"</f>
        <v>103,4740</v>
      </c>
      <c r="M16" s="9" t="s">
        <v>293</v>
      </c>
    </row>
    <row r="17" spans="1:13" ht="12.75">
      <c r="A17" s="23" t="s">
        <v>363</v>
      </c>
      <c r="B17" s="23" t="s">
        <v>364</v>
      </c>
      <c r="C17" s="23" t="s">
        <v>365</v>
      </c>
      <c r="D17" s="23" t="str">
        <f>"0,5473"</f>
        <v>0,5473</v>
      </c>
      <c r="E17" s="23" t="s">
        <v>167</v>
      </c>
      <c r="F17" s="23" t="s">
        <v>34</v>
      </c>
      <c r="G17" s="56" t="s">
        <v>214</v>
      </c>
      <c r="H17" s="56" t="s">
        <v>56</v>
      </c>
      <c r="I17" s="56" t="s">
        <v>208</v>
      </c>
      <c r="J17" s="24"/>
      <c r="K17" s="23" t="str">
        <f>"175,0"</f>
        <v>175,0</v>
      </c>
      <c r="L17" s="25" t="str">
        <f>"95,7775"</f>
        <v>95,7775</v>
      </c>
      <c r="M17" s="23" t="s">
        <v>712</v>
      </c>
    </row>
    <row r="18" spans="1:13" ht="12.75">
      <c r="A18" s="23" t="s">
        <v>367</v>
      </c>
      <c r="B18" s="23" t="s">
        <v>368</v>
      </c>
      <c r="C18" s="23" t="s">
        <v>369</v>
      </c>
      <c r="D18" s="23" t="str">
        <f>"0,5378"</f>
        <v>0,5378</v>
      </c>
      <c r="E18" s="23" t="s">
        <v>292</v>
      </c>
      <c r="F18" s="23" t="s">
        <v>143</v>
      </c>
      <c r="G18" s="25" t="s">
        <v>75</v>
      </c>
      <c r="H18" s="25" t="s">
        <v>214</v>
      </c>
      <c r="I18" s="24" t="s">
        <v>116</v>
      </c>
      <c r="J18" s="24"/>
      <c r="K18" s="23" t="str">
        <f>"160,0"</f>
        <v>160,0</v>
      </c>
      <c r="L18" s="25" t="str">
        <f>"86,0400"</f>
        <v>86,0400</v>
      </c>
      <c r="M18" s="23" t="s">
        <v>293</v>
      </c>
    </row>
    <row r="19" spans="1:13" ht="12.75">
      <c r="A19" s="12" t="s">
        <v>359</v>
      </c>
      <c r="B19" s="12" t="s">
        <v>370</v>
      </c>
      <c r="C19" s="12" t="s">
        <v>361</v>
      </c>
      <c r="D19" s="12" t="str">
        <f>"0,5446"</f>
        <v>0,5446</v>
      </c>
      <c r="E19" s="12" t="s">
        <v>292</v>
      </c>
      <c r="F19" s="12" t="s">
        <v>143</v>
      </c>
      <c r="G19" s="15" t="s">
        <v>63</v>
      </c>
      <c r="H19" s="15" t="s">
        <v>117</v>
      </c>
      <c r="I19" s="13" t="s">
        <v>353</v>
      </c>
      <c r="J19" s="13"/>
      <c r="K19" s="12" t="str">
        <f>"190,0"</f>
        <v>190,0</v>
      </c>
      <c r="L19" s="15" t="str">
        <f>"104,4053"</f>
        <v>104,4053</v>
      </c>
      <c r="M19" s="12" t="s">
        <v>293</v>
      </c>
    </row>
    <row r="21" spans="1:12" ht="15">
      <c r="A21" s="72" t="s">
        <v>302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1:13" ht="12.75">
      <c r="A22" s="9" t="s">
        <v>372</v>
      </c>
      <c r="B22" s="9" t="s">
        <v>373</v>
      </c>
      <c r="C22" s="9" t="s">
        <v>374</v>
      </c>
      <c r="D22" s="9" t="str">
        <f>"0,5305"</f>
        <v>0,5305</v>
      </c>
      <c r="E22" s="9" t="s">
        <v>220</v>
      </c>
      <c r="F22" s="9" t="s">
        <v>34</v>
      </c>
      <c r="G22" s="10" t="s">
        <v>64</v>
      </c>
      <c r="H22" s="10" t="s">
        <v>375</v>
      </c>
      <c r="I22" s="10" t="s">
        <v>376</v>
      </c>
      <c r="J22" s="11"/>
      <c r="K22" s="9" t="str">
        <f>"212,5"</f>
        <v>212,5</v>
      </c>
      <c r="L22" s="10" t="str">
        <f>"112,7312"</f>
        <v>112,7312</v>
      </c>
      <c r="M22" s="9" t="s">
        <v>215</v>
      </c>
    </row>
    <row r="23" spans="1:13" ht="12.75">
      <c r="A23" s="23" t="s">
        <v>378</v>
      </c>
      <c r="B23" s="23" t="s">
        <v>379</v>
      </c>
      <c r="C23" s="23" t="s">
        <v>380</v>
      </c>
      <c r="D23" s="23" t="str">
        <f>"0,5339"</f>
        <v>0,5339</v>
      </c>
      <c r="E23" s="23" t="s">
        <v>220</v>
      </c>
      <c r="F23" s="23" t="s">
        <v>34</v>
      </c>
      <c r="G23" s="25" t="s">
        <v>117</v>
      </c>
      <c r="H23" s="25" t="s">
        <v>353</v>
      </c>
      <c r="I23" s="25" t="s">
        <v>381</v>
      </c>
      <c r="J23" s="24"/>
      <c r="K23" s="23" t="str">
        <f>"197,5"</f>
        <v>197,5</v>
      </c>
      <c r="L23" s="25" t="str">
        <f>"105,4453"</f>
        <v>105,4453</v>
      </c>
      <c r="M23" s="23" t="s">
        <v>215</v>
      </c>
    </row>
    <row r="24" spans="1:13" ht="12.75">
      <c r="A24" s="23" t="s">
        <v>383</v>
      </c>
      <c r="B24" s="23" t="s">
        <v>384</v>
      </c>
      <c r="C24" s="23" t="s">
        <v>385</v>
      </c>
      <c r="D24" s="23" t="str">
        <f>"0,5337"</f>
        <v>0,5337</v>
      </c>
      <c r="E24" s="23" t="s">
        <v>33</v>
      </c>
      <c r="F24" s="23" t="s">
        <v>20</v>
      </c>
      <c r="G24" s="25" t="s">
        <v>208</v>
      </c>
      <c r="H24" s="25" t="s">
        <v>386</v>
      </c>
      <c r="I24" s="24" t="s">
        <v>353</v>
      </c>
      <c r="J24" s="24"/>
      <c r="K24" s="23" t="str">
        <f>"185,0"</f>
        <v>185,0</v>
      </c>
      <c r="L24" s="25" t="str">
        <f>"98,7345"</f>
        <v>98,7345</v>
      </c>
      <c r="M24" s="23" t="s">
        <v>57</v>
      </c>
    </row>
    <row r="25" spans="1:13" ht="12.75">
      <c r="A25" s="23" t="s">
        <v>387</v>
      </c>
      <c r="B25" s="23" t="s">
        <v>388</v>
      </c>
      <c r="C25" s="23" t="s">
        <v>385</v>
      </c>
      <c r="D25" s="23" t="str">
        <f>"0,5337"</f>
        <v>0,5337</v>
      </c>
      <c r="E25" s="23" t="s">
        <v>33</v>
      </c>
      <c r="F25" s="23" t="s">
        <v>20</v>
      </c>
      <c r="G25" s="25" t="s">
        <v>208</v>
      </c>
      <c r="H25" s="25" t="s">
        <v>386</v>
      </c>
      <c r="I25" s="24" t="s">
        <v>353</v>
      </c>
      <c r="J25" s="24"/>
      <c r="K25" s="23" t="str">
        <f>"185,0"</f>
        <v>185,0</v>
      </c>
      <c r="L25" s="25" t="str">
        <f>"99,0307"</f>
        <v>99,0307</v>
      </c>
      <c r="M25" s="23" t="s">
        <v>57</v>
      </c>
    </row>
    <row r="26" spans="1:13" ht="12.75">
      <c r="A26" s="12" t="s">
        <v>390</v>
      </c>
      <c r="B26" s="12" t="s">
        <v>391</v>
      </c>
      <c r="C26" s="12" t="s">
        <v>374</v>
      </c>
      <c r="D26" s="12" t="str">
        <f>"0,5305"</f>
        <v>0,5305</v>
      </c>
      <c r="E26" s="12" t="s">
        <v>33</v>
      </c>
      <c r="F26" s="12" t="s">
        <v>34</v>
      </c>
      <c r="G26" s="15" t="s">
        <v>56</v>
      </c>
      <c r="H26" s="15" t="s">
        <v>63</v>
      </c>
      <c r="I26" s="15" t="s">
        <v>353</v>
      </c>
      <c r="J26" s="13"/>
      <c r="K26" s="12" t="str">
        <f>"192,5"</f>
        <v>192,5</v>
      </c>
      <c r="L26" s="15" t="str">
        <f>"114,0694"</f>
        <v>114,0694</v>
      </c>
      <c r="M26" s="12" t="s">
        <v>57</v>
      </c>
    </row>
    <row r="27" ht="12.75">
      <c r="E27" s="42"/>
    </row>
    <row r="28" spans="5:6" ht="12.75">
      <c r="E28" s="42" t="s">
        <v>76</v>
      </c>
      <c r="F28" s="5" t="s">
        <v>488</v>
      </c>
    </row>
    <row r="29" spans="5:6" ht="12.75">
      <c r="E29" s="42" t="s">
        <v>77</v>
      </c>
      <c r="F29" s="5" t="s">
        <v>489</v>
      </c>
    </row>
    <row r="30" spans="5:6" ht="12.75">
      <c r="E30" s="42" t="s">
        <v>78</v>
      </c>
      <c r="F30" s="5" t="s">
        <v>490</v>
      </c>
    </row>
    <row r="31" spans="5:6" ht="12.75">
      <c r="E31" s="42" t="s">
        <v>79</v>
      </c>
      <c r="F31" s="5" t="s">
        <v>491</v>
      </c>
    </row>
    <row r="32" spans="5:6" ht="12.75">
      <c r="E32" s="42" t="s">
        <v>79</v>
      </c>
      <c r="F32" s="5" t="s">
        <v>492</v>
      </c>
    </row>
    <row r="33" spans="5:6" ht="12.75">
      <c r="E33" s="42" t="s">
        <v>80</v>
      </c>
      <c r="F33" s="5" t="s">
        <v>493</v>
      </c>
    </row>
    <row r="34" ht="12.75">
      <c r="E34" s="42"/>
    </row>
    <row r="36" spans="1:2" ht="18">
      <c r="A36" s="16" t="s">
        <v>81</v>
      </c>
      <c r="B36" s="16"/>
    </row>
    <row r="37" spans="1:2" ht="15">
      <c r="A37" s="17" t="s">
        <v>95</v>
      </c>
      <c r="B37" s="17"/>
    </row>
    <row r="38" spans="1:2" ht="14.25">
      <c r="A38" s="19"/>
      <c r="B38" s="20" t="s">
        <v>83</v>
      </c>
    </row>
    <row r="39" spans="1:5" ht="15">
      <c r="A39" s="21" t="s">
        <v>84</v>
      </c>
      <c r="B39" s="21" t="s">
        <v>85</v>
      </c>
      <c r="C39" s="21" t="s">
        <v>86</v>
      </c>
      <c r="D39" s="21" t="s">
        <v>87</v>
      </c>
      <c r="E39" s="21" t="s">
        <v>88</v>
      </c>
    </row>
    <row r="40" spans="1:5" ht="12.75">
      <c r="A40" s="18" t="s">
        <v>371</v>
      </c>
      <c r="B40" s="5" t="s">
        <v>83</v>
      </c>
      <c r="C40" s="5" t="s">
        <v>337</v>
      </c>
      <c r="D40" s="5" t="s">
        <v>376</v>
      </c>
      <c r="E40" s="22" t="s">
        <v>392</v>
      </c>
    </row>
    <row r="41" spans="1:5" ht="12.75">
      <c r="A41" s="18" t="s">
        <v>349</v>
      </c>
      <c r="B41" s="5" t="s">
        <v>83</v>
      </c>
      <c r="C41" s="5" t="s">
        <v>317</v>
      </c>
      <c r="D41" s="5" t="s">
        <v>353</v>
      </c>
      <c r="E41" s="22" t="s">
        <v>393</v>
      </c>
    </row>
    <row r="42" spans="1:5" ht="12.75">
      <c r="A42" s="18" t="s">
        <v>377</v>
      </c>
      <c r="B42" s="5" t="s">
        <v>83</v>
      </c>
      <c r="C42" s="5" t="s">
        <v>337</v>
      </c>
      <c r="D42" s="5" t="s">
        <v>381</v>
      </c>
      <c r="E42" s="22" t="s">
        <v>394</v>
      </c>
    </row>
    <row r="43" spans="1:5" ht="12.75">
      <c r="A43" s="18" t="s">
        <v>358</v>
      </c>
      <c r="B43" s="5" t="s">
        <v>83</v>
      </c>
      <c r="C43" s="5" t="s">
        <v>106</v>
      </c>
      <c r="D43" s="5" t="s">
        <v>117</v>
      </c>
      <c r="E43" s="22" t="s">
        <v>395</v>
      </c>
    </row>
    <row r="44" spans="1:5" ht="12.75">
      <c r="A44" s="18" t="s">
        <v>341</v>
      </c>
      <c r="B44" s="5" t="s">
        <v>83</v>
      </c>
      <c r="C44" s="5" t="s">
        <v>92</v>
      </c>
      <c r="D44" s="5" t="s">
        <v>132</v>
      </c>
      <c r="E44" s="22" t="s">
        <v>396</v>
      </c>
    </row>
    <row r="45" spans="1:5" ht="12.75">
      <c r="A45" s="18" t="s">
        <v>382</v>
      </c>
      <c r="B45" s="5" t="s">
        <v>83</v>
      </c>
      <c r="C45" s="5" t="s">
        <v>337</v>
      </c>
      <c r="D45" s="5" t="s">
        <v>386</v>
      </c>
      <c r="E45" s="22" t="s">
        <v>397</v>
      </c>
    </row>
    <row r="46" spans="1:5" ht="12.75">
      <c r="A46" s="18" t="s">
        <v>362</v>
      </c>
      <c r="B46" s="5" t="s">
        <v>83</v>
      </c>
      <c r="C46" s="5" t="s">
        <v>106</v>
      </c>
      <c r="D46" s="5" t="s">
        <v>208</v>
      </c>
      <c r="E46" s="22" t="s">
        <v>398</v>
      </c>
    </row>
    <row r="47" spans="1:5" ht="12.75">
      <c r="A47" s="18" t="s">
        <v>366</v>
      </c>
      <c r="B47" s="5" t="s">
        <v>83</v>
      </c>
      <c r="C47" s="5" t="s">
        <v>106</v>
      </c>
      <c r="D47" s="5" t="s">
        <v>214</v>
      </c>
      <c r="E47" s="22" t="s">
        <v>399</v>
      </c>
    </row>
    <row r="48" spans="1:5" ht="12.75">
      <c r="A48" s="18" t="s">
        <v>346</v>
      </c>
      <c r="B48" s="5" t="s">
        <v>83</v>
      </c>
      <c r="C48" s="5" t="s">
        <v>122</v>
      </c>
      <c r="D48" s="5" t="s">
        <v>131</v>
      </c>
      <c r="E48" s="22" t="s">
        <v>400</v>
      </c>
    </row>
    <row r="50" spans="1:2" ht="14.25">
      <c r="A50" s="19"/>
      <c r="B50" s="20" t="s">
        <v>120</v>
      </c>
    </row>
    <row r="51" spans="1:5" ht="15">
      <c r="A51" s="21" t="s">
        <v>84</v>
      </c>
      <c r="B51" s="21" t="s">
        <v>85</v>
      </c>
      <c r="C51" s="21" t="s">
        <v>86</v>
      </c>
      <c r="D51" s="21" t="s">
        <v>87</v>
      </c>
      <c r="E51" s="21" t="s">
        <v>88</v>
      </c>
    </row>
    <row r="52" spans="1:5" ht="12.75">
      <c r="A52" s="18" t="s">
        <v>389</v>
      </c>
      <c r="B52" s="5" t="s">
        <v>401</v>
      </c>
      <c r="C52" s="5" t="s">
        <v>337</v>
      </c>
      <c r="D52" s="5" t="s">
        <v>353</v>
      </c>
      <c r="E52" s="22" t="s">
        <v>402</v>
      </c>
    </row>
    <row r="53" spans="1:5" ht="12.75">
      <c r="A53" s="18" t="s">
        <v>358</v>
      </c>
      <c r="B53" s="5" t="s">
        <v>335</v>
      </c>
      <c r="C53" s="5" t="s">
        <v>106</v>
      </c>
      <c r="D53" s="5" t="s">
        <v>117</v>
      </c>
      <c r="E53" s="22" t="s">
        <v>403</v>
      </c>
    </row>
    <row r="54" spans="1:5" ht="12.75">
      <c r="A54" s="18" t="s">
        <v>382</v>
      </c>
      <c r="B54" s="5" t="s">
        <v>335</v>
      </c>
      <c r="C54" s="5" t="s">
        <v>337</v>
      </c>
      <c r="D54" s="5" t="s">
        <v>386</v>
      </c>
      <c r="E54" s="22" t="s">
        <v>404</v>
      </c>
    </row>
    <row r="55" spans="1:5" ht="12.75">
      <c r="A55" s="18" t="s">
        <v>354</v>
      </c>
      <c r="B55" s="5" t="s">
        <v>335</v>
      </c>
      <c r="C55" s="5" t="s">
        <v>317</v>
      </c>
      <c r="D55" s="5" t="s">
        <v>207</v>
      </c>
      <c r="E55" s="22" t="s">
        <v>405</v>
      </c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A21:L21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1">
      <selection activeCell="K27" sqref="K27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34.375" style="5" bestFit="1" customWidth="1"/>
    <col min="7" max="10" width="5.625" style="4" bestFit="1" customWidth="1"/>
    <col min="11" max="11" width="7.875" style="5" bestFit="1" customWidth="1"/>
    <col min="12" max="12" width="8.625" style="4" bestFit="1" customWidth="1"/>
    <col min="13" max="13" width="16.375" style="5" bestFit="1" customWidth="1"/>
    <col min="14" max="16384" width="9.125" style="4" customWidth="1"/>
  </cols>
  <sheetData>
    <row r="1" spans="1:13" s="3" customFormat="1" ht="28.5" customHeight="1">
      <c r="A1" s="60" t="s">
        <v>180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3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70" t="s">
        <v>10</v>
      </c>
      <c r="E3" s="70" t="s">
        <v>4</v>
      </c>
      <c r="F3" s="70" t="s">
        <v>8</v>
      </c>
      <c r="G3" s="70" t="s">
        <v>12</v>
      </c>
      <c r="H3" s="70"/>
      <c r="I3" s="70"/>
      <c r="J3" s="70"/>
      <c r="K3" s="70" t="s">
        <v>161</v>
      </c>
      <c r="L3" s="70" t="s">
        <v>3</v>
      </c>
      <c r="M3" s="57" t="s">
        <v>2</v>
      </c>
    </row>
    <row r="4" spans="1:13" s="1" customFormat="1" ht="21" customHeight="1" thickBot="1">
      <c r="A4" s="67"/>
      <c r="B4" s="69"/>
      <c r="C4" s="69"/>
      <c r="D4" s="69"/>
      <c r="E4" s="69"/>
      <c r="F4" s="69"/>
      <c r="G4" s="2">
        <v>1</v>
      </c>
      <c r="H4" s="2">
        <v>2</v>
      </c>
      <c r="I4" s="2">
        <v>3</v>
      </c>
      <c r="J4" s="2" t="s">
        <v>5</v>
      </c>
      <c r="K4" s="69"/>
      <c r="L4" s="69"/>
      <c r="M4" s="58"/>
    </row>
    <row r="5" spans="1:12" ht="15">
      <c r="A5" s="59" t="s">
        <v>14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2.75">
      <c r="A6" s="6" t="s">
        <v>182</v>
      </c>
      <c r="B6" s="6" t="s">
        <v>183</v>
      </c>
      <c r="C6" s="6" t="s">
        <v>184</v>
      </c>
      <c r="D6" s="6" t="str">
        <f>"0,9039"</f>
        <v>0,9039</v>
      </c>
      <c r="E6" s="6" t="s">
        <v>167</v>
      </c>
      <c r="F6" s="6" t="s">
        <v>34</v>
      </c>
      <c r="G6" s="8" t="s">
        <v>185</v>
      </c>
      <c r="H6" s="7" t="s">
        <v>186</v>
      </c>
      <c r="I6" s="7" t="s">
        <v>186</v>
      </c>
      <c r="J6" s="7"/>
      <c r="K6" s="6" t="str">
        <f>"62,5"</f>
        <v>62,5</v>
      </c>
      <c r="L6" s="8" t="str">
        <f>"102,2537"</f>
        <v>102,2537</v>
      </c>
      <c r="M6" s="6" t="s">
        <v>187</v>
      </c>
    </row>
    <row r="8" spans="1:12" ht="15">
      <c r="A8" s="72" t="s">
        <v>188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3" ht="12.75">
      <c r="A9" s="6" t="s">
        <v>190</v>
      </c>
      <c r="B9" s="6" t="s">
        <v>191</v>
      </c>
      <c r="C9" s="6" t="s">
        <v>192</v>
      </c>
      <c r="D9" s="6" t="str">
        <f>"0,8924"</f>
        <v>0,8924</v>
      </c>
      <c r="E9" s="6" t="s">
        <v>33</v>
      </c>
      <c r="F9" s="6" t="s">
        <v>193</v>
      </c>
      <c r="G9" s="8" t="s">
        <v>36</v>
      </c>
      <c r="H9" s="8" t="s">
        <v>47</v>
      </c>
      <c r="I9" s="8" t="s">
        <v>194</v>
      </c>
      <c r="J9" s="7"/>
      <c r="K9" s="6" t="str">
        <f>"82,5"</f>
        <v>82,5</v>
      </c>
      <c r="L9" s="8" t="str">
        <f>"86,8751"</f>
        <v>86,8751</v>
      </c>
      <c r="M9" s="6" t="s">
        <v>195</v>
      </c>
    </row>
    <row r="11" spans="1:12" ht="15">
      <c r="A11" s="72" t="s">
        <v>42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3" ht="12.75">
      <c r="A12" s="6" t="s">
        <v>197</v>
      </c>
      <c r="B12" s="6" t="s">
        <v>198</v>
      </c>
      <c r="C12" s="6" t="s">
        <v>199</v>
      </c>
      <c r="D12" s="6" t="str">
        <f>"0,7357"</f>
        <v>0,7357</v>
      </c>
      <c r="E12" s="6" t="s">
        <v>33</v>
      </c>
      <c r="F12" s="6" t="s">
        <v>200</v>
      </c>
      <c r="G12" s="7" t="s">
        <v>201</v>
      </c>
      <c r="H12" s="8" t="s">
        <v>201</v>
      </c>
      <c r="I12" s="7" t="s">
        <v>133</v>
      </c>
      <c r="J12" s="7"/>
      <c r="K12" s="6" t="str">
        <f>"140,0"</f>
        <v>140,0</v>
      </c>
      <c r="L12" s="8" t="str">
        <f>"102,9980"</f>
        <v>102,9980</v>
      </c>
      <c r="M12" s="6" t="s">
        <v>57</v>
      </c>
    </row>
    <row r="14" spans="1:12" ht="15">
      <c r="A14" s="72" t="s">
        <v>28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3" ht="12.75">
      <c r="A15" s="9" t="s">
        <v>203</v>
      </c>
      <c r="B15" s="9" t="s">
        <v>204</v>
      </c>
      <c r="C15" s="9" t="s">
        <v>205</v>
      </c>
      <c r="D15" s="9" t="str">
        <f>"0,6774"</f>
        <v>0,6774</v>
      </c>
      <c r="E15" s="9" t="s">
        <v>33</v>
      </c>
      <c r="F15" s="9" t="s">
        <v>206</v>
      </c>
      <c r="G15" s="10" t="s">
        <v>207</v>
      </c>
      <c r="H15" s="10" t="s">
        <v>208</v>
      </c>
      <c r="I15" s="10" t="s">
        <v>63</v>
      </c>
      <c r="J15" s="11"/>
      <c r="K15" s="9" t="str">
        <f>"180,0"</f>
        <v>180,0</v>
      </c>
      <c r="L15" s="10" t="str">
        <f>"121,9320"</f>
        <v>121,9320</v>
      </c>
      <c r="M15" s="9" t="s">
        <v>209</v>
      </c>
    </row>
    <row r="16" spans="1:13" ht="12.75">
      <c r="A16" s="23" t="s">
        <v>211</v>
      </c>
      <c r="B16" s="23" t="s">
        <v>212</v>
      </c>
      <c r="C16" s="23" t="s">
        <v>213</v>
      </c>
      <c r="D16" s="23" t="str">
        <f>"0,6687"</f>
        <v>0,6687</v>
      </c>
      <c r="E16" s="23" t="s">
        <v>33</v>
      </c>
      <c r="F16" s="23" t="s">
        <v>34</v>
      </c>
      <c r="G16" s="25" t="s">
        <v>144</v>
      </c>
      <c r="H16" s="25" t="s">
        <v>75</v>
      </c>
      <c r="I16" s="25" t="s">
        <v>214</v>
      </c>
      <c r="J16" s="24"/>
      <c r="K16" s="23" t="str">
        <f>"160,0"</f>
        <v>160,0</v>
      </c>
      <c r="L16" s="25" t="str">
        <f>"106,9920"</f>
        <v>106,9920</v>
      </c>
      <c r="M16" s="23" t="s">
        <v>215</v>
      </c>
    </row>
    <row r="17" spans="1:13" ht="12.75">
      <c r="A17" s="23" t="s">
        <v>217</v>
      </c>
      <c r="B17" s="23" t="s">
        <v>218</v>
      </c>
      <c r="C17" s="23" t="s">
        <v>219</v>
      </c>
      <c r="D17" s="23" t="str">
        <f>"0,6786"</f>
        <v>0,6786</v>
      </c>
      <c r="E17" s="23" t="s">
        <v>220</v>
      </c>
      <c r="F17" s="23" t="s">
        <v>34</v>
      </c>
      <c r="G17" s="25" t="s">
        <v>221</v>
      </c>
      <c r="H17" s="25" t="s">
        <v>222</v>
      </c>
      <c r="I17" s="24" t="s">
        <v>223</v>
      </c>
      <c r="J17" s="24"/>
      <c r="K17" s="23" t="str">
        <f>"130,0"</f>
        <v>130,0</v>
      </c>
      <c r="L17" s="25" t="str">
        <f>"88,2115"</f>
        <v>88,2115</v>
      </c>
      <c r="M17" s="23" t="s">
        <v>224</v>
      </c>
    </row>
    <row r="18" spans="1:13" ht="12.75">
      <c r="A18" s="12" t="s">
        <v>225</v>
      </c>
      <c r="B18" s="12" t="s">
        <v>226</v>
      </c>
      <c r="C18" s="12" t="s">
        <v>213</v>
      </c>
      <c r="D18" s="12" t="str">
        <f>"0,6687"</f>
        <v>0,6687</v>
      </c>
      <c r="E18" s="12" t="s">
        <v>33</v>
      </c>
      <c r="F18" s="12" t="s">
        <v>34</v>
      </c>
      <c r="G18" s="15" t="s">
        <v>144</v>
      </c>
      <c r="H18" s="15" t="s">
        <v>75</v>
      </c>
      <c r="I18" s="15" t="s">
        <v>214</v>
      </c>
      <c r="J18" s="13"/>
      <c r="K18" s="12" t="str">
        <f>"160,0"</f>
        <v>160,0</v>
      </c>
      <c r="L18" s="15" t="str">
        <f>"108,9179"</f>
        <v>108,9179</v>
      </c>
      <c r="M18" s="12" t="s">
        <v>215</v>
      </c>
    </row>
    <row r="20" spans="1:12" ht="15">
      <c r="A20" s="72" t="s">
        <v>110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3" ht="12.75">
      <c r="A21" s="9" t="s">
        <v>228</v>
      </c>
      <c r="B21" s="9" t="s">
        <v>229</v>
      </c>
      <c r="C21" s="9" t="s">
        <v>230</v>
      </c>
      <c r="D21" s="9" t="str">
        <f>"0,6364"</f>
        <v>0,6364</v>
      </c>
      <c r="E21" s="9" t="s">
        <v>33</v>
      </c>
      <c r="F21" s="9" t="s">
        <v>34</v>
      </c>
      <c r="G21" s="10" t="s">
        <v>38</v>
      </c>
      <c r="H21" s="10" t="s">
        <v>118</v>
      </c>
      <c r="I21" s="11" t="s">
        <v>65</v>
      </c>
      <c r="J21" s="11"/>
      <c r="K21" s="9" t="str">
        <f>"112,5"</f>
        <v>112,5</v>
      </c>
      <c r="L21" s="10" t="str">
        <f>"71,5950"</f>
        <v>71,5950</v>
      </c>
      <c r="M21" s="9" t="s">
        <v>57</v>
      </c>
    </row>
    <row r="22" spans="1:13" ht="12.75">
      <c r="A22" s="23" t="s">
        <v>232</v>
      </c>
      <c r="B22" s="23" t="s">
        <v>233</v>
      </c>
      <c r="C22" s="23" t="s">
        <v>234</v>
      </c>
      <c r="D22" s="23" t="str">
        <f>"0,6193"</f>
        <v>0,6193</v>
      </c>
      <c r="E22" s="23" t="s">
        <v>33</v>
      </c>
      <c r="F22" s="23" t="s">
        <v>34</v>
      </c>
      <c r="G22" s="25" t="s">
        <v>222</v>
      </c>
      <c r="H22" s="25" t="s">
        <v>144</v>
      </c>
      <c r="I22" s="25" t="s">
        <v>214</v>
      </c>
      <c r="J22" s="25" t="s">
        <v>235</v>
      </c>
      <c r="K22" s="23" t="str">
        <f>"160,0"</f>
        <v>160,0</v>
      </c>
      <c r="L22" s="25" t="str">
        <f>"99,0880"</f>
        <v>99,0880</v>
      </c>
      <c r="M22" s="23" t="s">
        <v>57</v>
      </c>
    </row>
    <row r="23" spans="1:13" ht="12.75">
      <c r="A23" s="23" t="s">
        <v>237</v>
      </c>
      <c r="B23" s="23" t="s">
        <v>238</v>
      </c>
      <c r="C23" s="23" t="s">
        <v>239</v>
      </c>
      <c r="D23" s="23" t="str">
        <f>"0,6227"</f>
        <v>0,6227</v>
      </c>
      <c r="E23" s="23" t="s">
        <v>19</v>
      </c>
      <c r="F23" s="23" t="s">
        <v>20</v>
      </c>
      <c r="G23" s="25" t="s">
        <v>144</v>
      </c>
      <c r="H23" s="25" t="s">
        <v>240</v>
      </c>
      <c r="I23" s="24" t="s">
        <v>241</v>
      </c>
      <c r="J23" s="24"/>
      <c r="K23" s="23" t="str">
        <f>"152,5"</f>
        <v>152,5</v>
      </c>
      <c r="L23" s="25" t="str">
        <f>"94,9617"</f>
        <v>94,9617</v>
      </c>
      <c r="M23" s="23" t="s">
        <v>27</v>
      </c>
    </row>
    <row r="24" spans="1:13" ht="12.75">
      <c r="A24" s="23" t="s">
        <v>243</v>
      </c>
      <c r="B24" s="23" t="s">
        <v>244</v>
      </c>
      <c r="C24" s="23" t="s">
        <v>245</v>
      </c>
      <c r="D24" s="23" t="str">
        <f>"0,6270"</f>
        <v>0,6270</v>
      </c>
      <c r="E24" s="23" t="s">
        <v>167</v>
      </c>
      <c r="F24" s="23" t="s">
        <v>34</v>
      </c>
      <c r="G24" s="25" t="s">
        <v>65</v>
      </c>
      <c r="H24" s="24" t="s">
        <v>222</v>
      </c>
      <c r="I24" s="56" t="s">
        <v>222</v>
      </c>
      <c r="J24" s="24"/>
      <c r="K24" s="23" t="s">
        <v>222</v>
      </c>
      <c r="L24" s="25" t="str">
        <f>"75,2460"</f>
        <v>75,2460</v>
      </c>
      <c r="M24" s="23" t="s">
        <v>57</v>
      </c>
    </row>
    <row r="26" spans="1:12" ht="15">
      <c r="A26" s="72" t="s">
        <v>58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3" ht="12.75">
      <c r="A27" s="9" t="s">
        <v>250</v>
      </c>
      <c r="B27" s="9" t="s">
        <v>251</v>
      </c>
      <c r="C27" s="9" t="s">
        <v>252</v>
      </c>
      <c r="D27" s="9" t="str">
        <f>"0,5867"</f>
        <v>0,5867</v>
      </c>
      <c r="E27" s="9" t="s">
        <v>220</v>
      </c>
      <c r="F27" s="9" t="s">
        <v>34</v>
      </c>
      <c r="G27" s="10" t="s">
        <v>56</v>
      </c>
      <c r="H27" s="11" t="s">
        <v>208</v>
      </c>
      <c r="I27" s="11" t="s">
        <v>208</v>
      </c>
      <c r="J27" s="11"/>
      <c r="K27" s="9" t="str">
        <f>"170,0"</f>
        <v>170,0</v>
      </c>
      <c r="L27" s="10" t="str">
        <f>"100,7364"</f>
        <v>100,7364</v>
      </c>
      <c r="M27" s="9" t="s">
        <v>57</v>
      </c>
    </row>
    <row r="28" spans="1:13" ht="12.75">
      <c r="A28" s="23" t="s">
        <v>254</v>
      </c>
      <c r="B28" s="23" t="s">
        <v>255</v>
      </c>
      <c r="C28" s="23" t="s">
        <v>256</v>
      </c>
      <c r="D28" s="23" t="str">
        <f>"0,5928"</f>
        <v>0,5928</v>
      </c>
      <c r="E28" s="23" t="s">
        <v>220</v>
      </c>
      <c r="F28" s="23" t="s">
        <v>34</v>
      </c>
      <c r="G28" s="25" t="s">
        <v>150</v>
      </c>
      <c r="H28" s="25" t="s">
        <v>144</v>
      </c>
      <c r="I28" s="25" t="s">
        <v>75</v>
      </c>
      <c r="J28" s="24"/>
      <c r="K28" s="23" t="str">
        <f>"155,0"</f>
        <v>155,0</v>
      </c>
      <c r="L28" s="25" t="str">
        <f>"92,8028"</f>
        <v>92,8028</v>
      </c>
      <c r="M28" s="23" t="s">
        <v>257</v>
      </c>
    </row>
    <row r="29" spans="1:13" ht="12.75">
      <c r="A29" s="23" t="s">
        <v>259</v>
      </c>
      <c r="B29" s="23" t="s">
        <v>260</v>
      </c>
      <c r="C29" s="23" t="s">
        <v>261</v>
      </c>
      <c r="D29" s="23" t="str">
        <f>"0,5873"</f>
        <v>0,5873</v>
      </c>
      <c r="E29" s="23" t="s">
        <v>220</v>
      </c>
      <c r="F29" s="23" t="s">
        <v>34</v>
      </c>
      <c r="G29" s="25" t="s">
        <v>262</v>
      </c>
      <c r="H29" s="24" t="s">
        <v>207</v>
      </c>
      <c r="I29" s="24" t="s">
        <v>207</v>
      </c>
      <c r="J29" s="24"/>
      <c r="K29" s="23" t="str">
        <f>"162,5"</f>
        <v>162,5</v>
      </c>
      <c r="L29" s="25" t="str">
        <f>"95,4363"</f>
        <v>95,4363</v>
      </c>
      <c r="M29" s="23" t="s">
        <v>57</v>
      </c>
    </row>
    <row r="30" spans="1:13" ht="12.75">
      <c r="A30" s="23" t="s">
        <v>263</v>
      </c>
      <c r="B30" s="23" t="s">
        <v>128</v>
      </c>
      <c r="C30" s="23" t="s">
        <v>129</v>
      </c>
      <c r="D30" s="23" t="str">
        <f>"0,5945"</f>
        <v>0,5945</v>
      </c>
      <c r="E30" s="23" t="s">
        <v>33</v>
      </c>
      <c r="F30" s="23" t="s">
        <v>130</v>
      </c>
      <c r="G30" s="25" t="s">
        <v>75</v>
      </c>
      <c r="H30" s="25" t="s">
        <v>214</v>
      </c>
      <c r="I30" s="24"/>
      <c r="J30" s="24"/>
      <c r="K30" s="23" t="str">
        <f>"160,0"</f>
        <v>160,0</v>
      </c>
      <c r="L30" s="25" t="str">
        <f>"95,1200"</f>
        <v>95,1200</v>
      </c>
      <c r="M30" s="23" t="s">
        <v>57</v>
      </c>
    </row>
    <row r="31" spans="1:13" ht="12.75">
      <c r="A31" s="23" t="s">
        <v>265</v>
      </c>
      <c r="B31" s="23" t="s">
        <v>266</v>
      </c>
      <c r="C31" s="23" t="s">
        <v>267</v>
      </c>
      <c r="D31" s="23" t="str">
        <f>"0,6177"</f>
        <v>0,6177</v>
      </c>
      <c r="E31" s="23" t="s">
        <v>33</v>
      </c>
      <c r="F31" s="23" t="s">
        <v>268</v>
      </c>
      <c r="G31" s="25" t="s">
        <v>144</v>
      </c>
      <c r="H31" s="25" t="s">
        <v>75</v>
      </c>
      <c r="I31" s="25" t="s">
        <v>241</v>
      </c>
      <c r="J31" s="24"/>
      <c r="K31" s="23" t="str">
        <f>"157,5"</f>
        <v>157,5</v>
      </c>
      <c r="L31" s="25" t="str">
        <f>"97,2877"</f>
        <v>97,2877</v>
      </c>
      <c r="M31" s="23" t="s">
        <v>57</v>
      </c>
    </row>
    <row r="32" spans="1:13" ht="12.75">
      <c r="A32" s="53" t="s">
        <v>270</v>
      </c>
      <c r="B32" s="23" t="s">
        <v>271</v>
      </c>
      <c r="C32" s="23" t="s">
        <v>272</v>
      </c>
      <c r="D32" s="23" t="str">
        <f>"0,5978"</f>
        <v>0,5978</v>
      </c>
      <c r="E32" s="23" t="s">
        <v>33</v>
      </c>
      <c r="F32" s="23" t="s">
        <v>34</v>
      </c>
      <c r="G32" s="25" t="s">
        <v>65</v>
      </c>
      <c r="H32" s="24" t="s">
        <v>221</v>
      </c>
      <c r="I32" s="25" t="s">
        <v>221</v>
      </c>
      <c r="J32" s="24"/>
      <c r="K32" s="23" t="str">
        <f>"125,0"</f>
        <v>125,0</v>
      </c>
      <c r="L32" s="25" t="str">
        <f>"74,7250"</f>
        <v>74,7250</v>
      </c>
      <c r="M32" s="23"/>
    </row>
    <row r="33" spans="1:13" ht="12.75">
      <c r="A33" s="23" t="s">
        <v>276</v>
      </c>
      <c r="B33" s="23" t="s">
        <v>277</v>
      </c>
      <c r="C33" s="23" t="s">
        <v>278</v>
      </c>
      <c r="D33" s="23" t="str">
        <f>"0,6036"</f>
        <v>0,6036</v>
      </c>
      <c r="E33" s="23" t="s">
        <v>33</v>
      </c>
      <c r="F33" s="23" t="s">
        <v>34</v>
      </c>
      <c r="G33" s="25" t="s">
        <v>214</v>
      </c>
      <c r="H33" s="24" t="s">
        <v>207</v>
      </c>
      <c r="I33" s="24" t="s">
        <v>207</v>
      </c>
      <c r="J33" s="24"/>
      <c r="K33" s="23" t="str">
        <f>"160,0"</f>
        <v>160,0</v>
      </c>
      <c r="L33" s="25" t="str">
        <f>"116,2775"</f>
        <v>116,2775</v>
      </c>
      <c r="M33" s="23" t="s">
        <v>215</v>
      </c>
    </row>
    <row r="34" spans="1:13" ht="12.75">
      <c r="A34" s="23" t="s">
        <v>280</v>
      </c>
      <c r="B34" s="23" t="s">
        <v>281</v>
      </c>
      <c r="C34" s="23" t="s">
        <v>282</v>
      </c>
      <c r="D34" s="23" t="str">
        <f>"0,6078"</f>
        <v>0,6078</v>
      </c>
      <c r="E34" s="23" t="s">
        <v>33</v>
      </c>
      <c r="F34" s="23" t="s">
        <v>34</v>
      </c>
      <c r="G34" s="25" t="s">
        <v>65</v>
      </c>
      <c r="H34" s="25" t="s">
        <v>222</v>
      </c>
      <c r="I34" s="25" t="s">
        <v>223</v>
      </c>
      <c r="J34" s="24"/>
      <c r="K34" s="23" t="str">
        <f>"137,5"</f>
        <v>137,5</v>
      </c>
      <c r="L34" s="25" t="str">
        <f>"123,6873"</f>
        <v>123,6873</v>
      </c>
      <c r="M34" s="23" t="s">
        <v>57</v>
      </c>
    </row>
    <row r="36" spans="1:12" ht="15">
      <c r="A36" s="72" t="s">
        <v>139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3" ht="12.75">
      <c r="A37" s="9" t="s">
        <v>285</v>
      </c>
      <c r="B37" s="9" t="s">
        <v>286</v>
      </c>
      <c r="C37" s="9" t="s">
        <v>287</v>
      </c>
      <c r="D37" s="9" t="str">
        <f>"0,5723"</f>
        <v>0,5723</v>
      </c>
      <c r="E37" s="9" t="s">
        <v>220</v>
      </c>
      <c r="F37" s="9" t="s">
        <v>34</v>
      </c>
      <c r="G37" s="10" t="s">
        <v>131</v>
      </c>
      <c r="H37" s="10" t="s">
        <v>132</v>
      </c>
      <c r="I37" s="11" t="s">
        <v>133</v>
      </c>
      <c r="J37" s="11"/>
      <c r="K37" s="9" t="str">
        <f>"142,5"</f>
        <v>142,5</v>
      </c>
      <c r="L37" s="10" t="str">
        <f>"83,1838"</f>
        <v>83,1838</v>
      </c>
      <c r="M37" s="9" t="s">
        <v>215</v>
      </c>
    </row>
    <row r="38" spans="1:13" ht="12.75">
      <c r="A38" s="23" t="s">
        <v>289</v>
      </c>
      <c r="B38" s="23" t="s">
        <v>290</v>
      </c>
      <c r="C38" s="23" t="s">
        <v>291</v>
      </c>
      <c r="D38" s="23" t="str">
        <f>"0,5712"</f>
        <v>0,5712</v>
      </c>
      <c r="E38" s="23" t="s">
        <v>292</v>
      </c>
      <c r="F38" s="23" t="s">
        <v>143</v>
      </c>
      <c r="G38" s="25" t="s">
        <v>201</v>
      </c>
      <c r="H38" s="25" t="s">
        <v>132</v>
      </c>
      <c r="I38" s="25" t="s">
        <v>150</v>
      </c>
      <c r="J38" s="24"/>
      <c r="K38" s="23" t="str">
        <f>"145,0"</f>
        <v>145,0</v>
      </c>
      <c r="L38" s="25" t="str">
        <f>"82,8240"</f>
        <v>82,8240</v>
      </c>
      <c r="M38" s="23" t="s">
        <v>293</v>
      </c>
    </row>
    <row r="39" spans="1:13" ht="12.75">
      <c r="A39" s="12" t="s">
        <v>295</v>
      </c>
      <c r="B39" s="12" t="s">
        <v>296</v>
      </c>
      <c r="C39" s="12" t="s">
        <v>297</v>
      </c>
      <c r="D39" s="12" t="str">
        <f>"0,5540"</f>
        <v>0,5540</v>
      </c>
      <c r="E39" s="12" t="s">
        <v>220</v>
      </c>
      <c r="F39" s="12" t="s">
        <v>34</v>
      </c>
      <c r="G39" s="15" t="s">
        <v>201</v>
      </c>
      <c r="H39" s="15" t="s">
        <v>133</v>
      </c>
      <c r="I39" s="13" t="s">
        <v>75</v>
      </c>
      <c r="J39" s="13"/>
      <c r="K39" s="12" t="str">
        <f>"147,5"</f>
        <v>147,5</v>
      </c>
      <c r="L39" s="15" t="str">
        <f>"81,9601"</f>
        <v>81,9601</v>
      </c>
      <c r="M39" s="12" t="s">
        <v>257</v>
      </c>
    </row>
    <row r="41" spans="1:12" ht="15">
      <c r="A41" s="72" t="s">
        <v>69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1:13" ht="12.75">
      <c r="A42" s="6" t="s">
        <v>299</v>
      </c>
      <c r="B42" s="6" t="s">
        <v>300</v>
      </c>
      <c r="C42" s="6" t="s">
        <v>301</v>
      </c>
      <c r="D42" s="6" t="str">
        <f>"0,5460"</f>
        <v>0,5460</v>
      </c>
      <c r="E42" s="6" t="s">
        <v>220</v>
      </c>
      <c r="F42" s="6" t="s">
        <v>34</v>
      </c>
      <c r="G42" s="8" t="s">
        <v>201</v>
      </c>
      <c r="H42" s="8" t="s">
        <v>133</v>
      </c>
      <c r="I42" s="7" t="s">
        <v>144</v>
      </c>
      <c r="J42" s="7"/>
      <c r="K42" s="6" t="str">
        <f>"147,5"</f>
        <v>147,5</v>
      </c>
      <c r="L42" s="8" t="str">
        <f>"82,9511"</f>
        <v>82,9511</v>
      </c>
      <c r="M42" s="6" t="s">
        <v>215</v>
      </c>
    </row>
    <row r="44" spans="1:12" ht="15">
      <c r="A44" s="72" t="s">
        <v>302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45" spans="1:13" ht="12.75">
      <c r="A45" s="9" t="s">
        <v>303</v>
      </c>
      <c r="B45" s="9" t="s">
        <v>304</v>
      </c>
      <c r="C45" s="9" t="s">
        <v>305</v>
      </c>
      <c r="D45" s="9" t="str">
        <f>"0,5309"</f>
        <v>0,5309</v>
      </c>
      <c r="E45" s="9" t="s">
        <v>33</v>
      </c>
      <c r="F45" s="9" t="s">
        <v>143</v>
      </c>
      <c r="G45" s="11" t="s">
        <v>144</v>
      </c>
      <c r="H45" s="11" t="s">
        <v>144</v>
      </c>
      <c r="I45" s="11" t="s">
        <v>144</v>
      </c>
      <c r="J45" s="11"/>
      <c r="K45" s="9" t="str">
        <f>"0.00"</f>
        <v>0.00</v>
      </c>
      <c r="L45" s="10" t="str">
        <f>"0,0000"</f>
        <v>0,0000</v>
      </c>
      <c r="M45" s="9" t="s">
        <v>57</v>
      </c>
    </row>
    <row r="46" spans="1:13" ht="12.75">
      <c r="A46" s="12" t="s">
        <v>307</v>
      </c>
      <c r="B46" s="12" t="s">
        <v>308</v>
      </c>
      <c r="C46" s="12" t="s">
        <v>309</v>
      </c>
      <c r="D46" s="12" t="str">
        <f>"0,5313"</f>
        <v>0,5313</v>
      </c>
      <c r="E46" s="12" t="s">
        <v>706</v>
      </c>
      <c r="F46" s="12" t="s">
        <v>34</v>
      </c>
      <c r="G46" s="15" t="s">
        <v>63</v>
      </c>
      <c r="H46" s="15" t="s">
        <v>117</v>
      </c>
      <c r="I46" s="13" t="s">
        <v>310</v>
      </c>
      <c r="J46" s="13"/>
      <c r="K46" s="12" t="str">
        <f>"190,0"</f>
        <v>190,0</v>
      </c>
      <c r="L46" s="15" t="str">
        <f>"101,2403"</f>
        <v>101,2403</v>
      </c>
      <c r="M46" s="12" t="s">
        <v>57</v>
      </c>
    </row>
    <row r="48" spans="5:6" ht="12.75">
      <c r="E48" s="42" t="s">
        <v>76</v>
      </c>
      <c r="F48" s="5" t="s">
        <v>488</v>
      </c>
    </row>
    <row r="49" spans="5:6" ht="12.75">
      <c r="E49" s="42" t="s">
        <v>77</v>
      </c>
      <c r="F49" s="5" t="s">
        <v>489</v>
      </c>
    </row>
    <row r="50" spans="5:6" ht="12.75">
      <c r="E50" s="42" t="s">
        <v>78</v>
      </c>
      <c r="F50" s="5" t="s">
        <v>490</v>
      </c>
    </row>
    <row r="51" spans="5:6" ht="12.75">
      <c r="E51" s="42" t="s">
        <v>79</v>
      </c>
      <c r="F51" s="5" t="s">
        <v>491</v>
      </c>
    </row>
    <row r="52" spans="5:6" ht="12.75">
      <c r="E52" s="42" t="s">
        <v>79</v>
      </c>
      <c r="F52" s="5" t="s">
        <v>492</v>
      </c>
    </row>
    <row r="53" spans="5:6" ht="12.75">
      <c r="E53" s="42" t="s">
        <v>80</v>
      </c>
      <c r="F53" s="5" t="s">
        <v>493</v>
      </c>
    </row>
    <row r="54" ht="15">
      <c r="E54" s="14"/>
    </row>
    <row r="56" spans="1:2" ht="18">
      <c r="A56" s="16" t="s">
        <v>81</v>
      </c>
      <c r="B56" s="16"/>
    </row>
    <row r="57" spans="1:2" ht="15">
      <c r="A57" s="17" t="s">
        <v>82</v>
      </c>
      <c r="B57" s="17"/>
    </row>
    <row r="58" spans="1:2" ht="14.25">
      <c r="A58" s="19"/>
      <c r="B58" s="20" t="s">
        <v>120</v>
      </c>
    </row>
    <row r="59" spans="1:5" ht="15">
      <c r="A59" s="21" t="s">
        <v>84</v>
      </c>
      <c r="B59" s="21" t="s">
        <v>85</v>
      </c>
      <c r="C59" s="21" t="s">
        <v>86</v>
      </c>
      <c r="D59" s="21" t="s">
        <v>87</v>
      </c>
      <c r="E59" s="21" t="s">
        <v>88</v>
      </c>
    </row>
    <row r="60" spans="1:5" ht="12.75">
      <c r="A60" s="18" t="s">
        <v>181</v>
      </c>
      <c r="B60" s="5" t="s">
        <v>311</v>
      </c>
      <c r="C60" s="5" t="s">
        <v>89</v>
      </c>
      <c r="D60" s="5" t="s">
        <v>185</v>
      </c>
      <c r="E60" s="22" t="s">
        <v>312</v>
      </c>
    </row>
    <row r="63" spans="1:2" ht="15">
      <c r="A63" s="17" t="s">
        <v>95</v>
      </c>
      <c r="B63" s="17"/>
    </row>
    <row r="64" spans="1:2" ht="14.25">
      <c r="A64" s="19"/>
      <c r="B64" s="20" t="s">
        <v>96</v>
      </c>
    </row>
    <row r="65" spans="1:5" ht="15">
      <c r="A65" s="21" t="s">
        <v>84</v>
      </c>
      <c r="B65" s="21" t="s">
        <v>85</v>
      </c>
      <c r="C65" s="21" t="s">
        <v>86</v>
      </c>
      <c r="D65" s="21" t="s">
        <v>87</v>
      </c>
      <c r="E65" s="21" t="s">
        <v>88</v>
      </c>
    </row>
    <row r="66" spans="1:5" ht="12.75">
      <c r="A66" s="18" t="s">
        <v>189</v>
      </c>
      <c r="B66" s="5" t="s">
        <v>97</v>
      </c>
      <c r="C66" s="5" t="s">
        <v>313</v>
      </c>
      <c r="D66" s="5" t="s">
        <v>194</v>
      </c>
      <c r="E66" s="22" t="s">
        <v>314</v>
      </c>
    </row>
    <row r="68" spans="1:2" ht="14.25">
      <c r="A68" s="19"/>
      <c r="B68" s="20" t="s">
        <v>101</v>
      </c>
    </row>
    <row r="69" spans="1:5" ht="15">
      <c r="A69" s="21" t="s">
        <v>84</v>
      </c>
      <c r="B69" s="21" t="s">
        <v>85</v>
      </c>
      <c r="C69" s="21" t="s">
        <v>86</v>
      </c>
      <c r="D69" s="21" t="s">
        <v>87</v>
      </c>
      <c r="E69" s="21" t="s">
        <v>88</v>
      </c>
    </row>
    <row r="70" spans="1:5" ht="12.75">
      <c r="A70" s="18" t="s">
        <v>249</v>
      </c>
      <c r="B70" s="5" t="s">
        <v>102</v>
      </c>
      <c r="C70" s="5" t="s">
        <v>103</v>
      </c>
      <c r="D70" s="5" t="s">
        <v>56</v>
      </c>
      <c r="E70" s="22" t="s">
        <v>315</v>
      </c>
    </row>
    <row r="71" spans="1:5" ht="12.75">
      <c r="A71" s="18" t="s">
        <v>253</v>
      </c>
      <c r="B71" s="5" t="s">
        <v>102</v>
      </c>
      <c r="C71" s="5" t="s">
        <v>103</v>
      </c>
      <c r="D71" s="5" t="s">
        <v>75</v>
      </c>
      <c r="E71" s="22" t="s">
        <v>316</v>
      </c>
    </row>
    <row r="72" spans="1:5" ht="12.75">
      <c r="A72" s="18" t="s">
        <v>284</v>
      </c>
      <c r="B72" s="5" t="s">
        <v>102</v>
      </c>
      <c r="C72" s="5" t="s">
        <v>317</v>
      </c>
      <c r="D72" s="5" t="s">
        <v>132</v>
      </c>
      <c r="E72" s="22" t="s">
        <v>318</v>
      </c>
    </row>
    <row r="73" spans="1:5" ht="12.75">
      <c r="A73" s="18" t="s">
        <v>298</v>
      </c>
      <c r="B73" s="5" t="s">
        <v>102</v>
      </c>
      <c r="C73" s="5" t="s">
        <v>106</v>
      </c>
      <c r="D73" s="5" t="s">
        <v>133</v>
      </c>
      <c r="E73" s="22" t="s">
        <v>319</v>
      </c>
    </row>
    <row r="74" spans="1:5" ht="12.75">
      <c r="A74" s="18" t="s">
        <v>227</v>
      </c>
      <c r="B74" s="5" t="s">
        <v>102</v>
      </c>
      <c r="C74" s="5" t="s">
        <v>122</v>
      </c>
      <c r="D74" s="5" t="s">
        <v>118</v>
      </c>
      <c r="E74" s="22" t="s">
        <v>320</v>
      </c>
    </row>
    <row r="76" spans="1:2" ht="14.25">
      <c r="A76" s="19"/>
      <c r="B76" s="20" t="s">
        <v>83</v>
      </c>
    </row>
    <row r="77" spans="1:5" ht="15">
      <c r="A77" s="21" t="s">
        <v>84</v>
      </c>
      <c r="B77" s="21" t="s">
        <v>85</v>
      </c>
      <c r="C77" s="21" t="s">
        <v>86</v>
      </c>
      <c r="D77" s="21" t="s">
        <v>87</v>
      </c>
      <c r="E77" s="21" t="s">
        <v>88</v>
      </c>
    </row>
    <row r="78" spans="1:5" ht="12.75">
      <c r="A78" s="18" t="s">
        <v>202</v>
      </c>
      <c r="B78" s="5" t="s">
        <v>83</v>
      </c>
      <c r="C78" s="5" t="s">
        <v>92</v>
      </c>
      <c r="D78" s="5" t="s">
        <v>63</v>
      </c>
      <c r="E78" s="22" t="s">
        <v>321</v>
      </c>
    </row>
    <row r="79" spans="1:5" ht="12.75">
      <c r="A79" s="18" t="s">
        <v>210</v>
      </c>
      <c r="B79" s="5" t="s">
        <v>83</v>
      </c>
      <c r="C79" s="5" t="s">
        <v>92</v>
      </c>
      <c r="D79" s="5" t="s">
        <v>214</v>
      </c>
      <c r="E79" s="22" t="s">
        <v>322</v>
      </c>
    </row>
    <row r="80" spans="1:5" ht="12.75">
      <c r="A80" s="18" t="s">
        <v>196</v>
      </c>
      <c r="B80" s="5" t="s">
        <v>83</v>
      </c>
      <c r="C80" s="5" t="s">
        <v>98</v>
      </c>
      <c r="D80" s="5" t="s">
        <v>201</v>
      </c>
      <c r="E80" s="22" t="s">
        <v>323</v>
      </c>
    </row>
    <row r="81" spans="1:5" ht="12.75">
      <c r="A81" s="18" t="s">
        <v>231</v>
      </c>
      <c r="B81" s="5" t="s">
        <v>83</v>
      </c>
      <c r="C81" s="5" t="s">
        <v>122</v>
      </c>
      <c r="D81" s="5" t="s">
        <v>214</v>
      </c>
      <c r="E81" s="22" t="s">
        <v>324</v>
      </c>
    </row>
    <row r="82" spans="1:5" ht="12.75">
      <c r="A82" s="18" t="s">
        <v>264</v>
      </c>
      <c r="B82" s="5" t="s">
        <v>83</v>
      </c>
      <c r="C82" s="5" t="s">
        <v>103</v>
      </c>
      <c r="D82" s="5" t="s">
        <v>241</v>
      </c>
      <c r="E82" s="22" t="s">
        <v>325</v>
      </c>
    </row>
    <row r="83" spans="1:5" ht="12.75">
      <c r="A83" s="18" t="s">
        <v>258</v>
      </c>
      <c r="B83" s="5" t="s">
        <v>83</v>
      </c>
      <c r="C83" s="5" t="s">
        <v>103</v>
      </c>
      <c r="D83" s="5" t="s">
        <v>262</v>
      </c>
      <c r="E83" s="22" t="s">
        <v>326</v>
      </c>
    </row>
    <row r="84" spans="1:5" ht="12.75">
      <c r="A84" s="18" t="s">
        <v>126</v>
      </c>
      <c r="B84" s="5" t="s">
        <v>83</v>
      </c>
      <c r="C84" s="5" t="s">
        <v>103</v>
      </c>
      <c r="D84" s="5" t="s">
        <v>214</v>
      </c>
      <c r="E84" s="22" t="s">
        <v>327</v>
      </c>
    </row>
    <row r="85" spans="1:5" ht="12.75">
      <c r="A85" s="18" t="s">
        <v>236</v>
      </c>
      <c r="B85" s="5" t="s">
        <v>83</v>
      </c>
      <c r="C85" s="5" t="s">
        <v>122</v>
      </c>
      <c r="D85" s="5" t="s">
        <v>240</v>
      </c>
      <c r="E85" s="22" t="s">
        <v>328</v>
      </c>
    </row>
    <row r="86" spans="1:5" ht="12.75">
      <c r="A86" s="18" t="s">
        <v>216</v>
      </c>
      <c r="B86" s="5" t="s">
        <v>83</v>
      </c>
      <c r="C86" s="5" t="s">
        <v>92</v>
      </c>
      <c r="D86" s="5" t="s">
        <v>222</v>
      </c>
      <c r="E86" s="22" t="s">
        <v>329</v>
      </c>
    </row>
    <row r="87" spans="1:5" ht="12.75">
      <c r="A87" s="18" t="s">
        <v>288</v>
      </c>
      <c r="B87" s="5" t="s">
        <v>83</v>
      </c>
      <c r="C87" s="5" t="s">
        <v>317</v>
      </c>
      <c r="D87" s="5" t="s">
        <v>150</v>
      </c>
      <c r="E87" s="22" t="s">
        <v>330</v>
      </c>
    </row>
    <row r="88" spans="1:5" ht="12.75">
      <c r="A88" s="18" t="s">
        <v>242</v>
      </c>
      <c r="B88" s="5" t="s">
        <v>83</v>
      </c>
      <c r="C88" s="5" t="s">
        <v>122</v>
      </c>
      <c r="D88" s="5" t="s">
        <v>65</v>
      </c>
      <c r="E88" s="22" t="s">
        <v>331</v>
      </c>
    </row>
    <row r="89" spans="1:5" ht="12.75">
      <c r="A89" s="18" t="s">
        <v>269</v>
      </c>
      <c r="B89" s="5" t="s">
        <v>83</v>
      </c>
      <c r="C89" s="5" t="s">
        <v>103</v>
      </c>
      <c r="D89" s="5" t="s">
        <v>221</v>
      </c>
      <c r="E89" s="22" t="s">
        <v>332</v>
      </c>
    </row>
    <row r="91" spans="1:2" ht="14.25">
      <c r="A91" s="19"/>
      <c r="B91" s="20" t="s">
        <v>120</v>
      </c>
    </row>
    <row r="92" spans="1:5" ht="15">
      <c r="A92" s="21" t="s">
        <v>84</v>
      </c>
      <c r="B92" s="21" t="s">
        <v>85</v>
      </c>
      <c r="C92" s="21" t="s">
        <v>86</v>
      </c>
      <c r="D92" s="21" t="s">
        <v>87</v>
      </c>
      <c r="E92" s="21" t="s">
        <v>88</v>
      </c>
    </row>
    <row r="93" spans="1:5" ht="12.75">
      <c r="A93" s="18" t="s">
        <v>279</v>
      </c>
      <c r="B93" s="5" t="s">
        <v>158</v>
      </c>
      <c r="C93" s="5" t="s">
        <v>103</v>
      </c>
      <c r="D93" s="5" t="s">
        <v>223</v>
      </c>
      <c r="E93" s="22" t="s">
        <v>333</v>
      </c>
    </row>
    <row r="94" spans="1:5" ht="12.75">
      <c r="A94" s="18" t="s">
        <v>275</v>
      </c>
      <c r="B94" s="5" t="s">
        <v>121</v>
      </c>
      <c r="C94" s="5" t="s">
        <v>103</v>
      </c>
      <c r="D94" s="5" t="s">
        <v>214</v>
      </c>
      <c r="E94" s="22" t="s">
        <v>334</v>
      </c>
    </row>
    <row r="95" spans="1:5" ht="12.75">
      <c r="A95" s="18" t="s">
        <v>210</v>
      </c>
      <c r="B95" s="5" t="s">
        <v>335</v>
      </c>
      <c r="C95" s="5" t="s">
        <v>92</v>
      </c>
      <c r="D95" s="5" t="s">
        <v>214</v>
      </c>
      <c r="E95" s="22" t="s">
        <v>336</v>
      </c>
    </row>
    <row r="96" spans="1:5" ht="12.75">
      <c r="A96" s="18" t="s">
        <v>306</v>
      </c>
      <c r="B96" s="5" t="s">
        <v>335</v>
      </c>
      <c r="C96" s="5" t="s">
        <v>337</v>
      </c>
      <c r="D96" s="5" t="s">
        <v>117</v>
      </c>
      <c r="E96" s="22" t="s">
        <v>338</v>
      </c>
    </row>
    <row r="97" spans="1:5" ht="12.75">
      <c r="A97" s="18" t="s">
        <v>294</v>
      </c>
      <c r="B97" s="5" t="s">
        <v>335</v>
      </c>
      <c r="C97" s="5" t="s">
        <v>317</v>
      </c>
      <c r="D97" s="5" t="s">
        <v>133</v>
      </c>
      <c r="E97" s="22" t="s">
        <v>339</v>
      </c>
    </row>
  </sheetData>
  <sheetProtection/>
  <mergeCells count="20">
    <mergeCell ref="A1:M2"/>
    <mergeCell ref="A3:A4"/>
    <mergeCell ref="B3:B4"/>
    <mergeCell ref="C3:C4"/>
    <mergeCell ref="D3:D4"/>
    <mergeCell ref="E3:E4"/>
    <mergeCell ref="F3:F4"/>
    <mergeCell ref="G3:J3"/>
    <mergeCell ref="A44:L44"/>
    <mergeCell ref="K3:K4"/>
    <mergeCell ref="L3:L4"/>
    <mergeCell ref="M3:M4"/>
    <mergeCell ref="A5:L5"/>
    <mergeCell ref="A8:L8"/>
    <mergeCell ref="A11:L11"/>
    <mergeCell ref="A14:L14"/>
    <mergeCell ref="A20:L20"/>
    <mergeCell ref="A26:L26"/>
    <mergeCell ref="A36:L36"/>
    <mergeCell ref="A41:L41"/>
  </mergeCells>
  <printOptions/>
  <pageMargins left="0.7" right="0.7" top="0.75" bottom="0.75" header="0.3" footer="0.3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E9" sqref="E9:E14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4.7539062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7.625" style="4" bestFit="1" customWidth="1"/>
    <col min="13" max="13" width="14.375" style="5" bestFit="1" customWidth="1"/>
    <col min="14" max="16384" width="9.125" style="4" customWidth="1"/>
  </cols>
  <sheetData>
    <row r="1" spans="1:13" s="3" customFormat="1" ht="28.5" customHeight="1">
      <c r="A1" s="60" t="s">
        <v>169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3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70" t="s">
        <v>10</v>
      </c>
      <c r="E3" s="70" t="s">
        <v>4</v>
      </c>
      <c r="F3" s="70" t="s">
        <v>8</v>
      </c>
      <c r="G3" s="70" t="s">
        <v>12</v>
      </c>
      <c r="H3" s="70"/>
      <c r="I3" s="70"/>
      <c r="J3" s="70"/>
      <c r="K3" s="70" t="s">
        <v>161</v>
      </c>
      <c r="L3" s="70" t="s">
        <v>3</v>
      </c>
      <c r="M3" s="57" t="s">
        <v>2</v>
      </c>
    </row>
    <row r="4" spans="1:13" s="1" customFormat="1" ht="21" customHeight="1" thickBot="1">
      <c r="A4" s="67"/>
      <c r="B4" s="69"/>
      <c r="C4" s="69"/>
      <c r="D4" s="69"/>
      <c r="E4" s="69"/>
      <c r="F4" s="69"/>
      <c r="G4" s="2">
        <v>1</v>
      </c>
      <c r="H4" s="2">
        <v>2</v>
      </c>
      <c r="I4" s="2">
        <v>3</v>
      </c>
      <c r="J4" s="2" t="s">
        <v>5</v>
      </c>
      <c r="K4" s="69"/>
      <c r="L4" s="69"/>
      <c r="M4" s="58"/>
    </row>
    <row r="5" spans="1:12" ht="15">
      <c r="A5" s="59" t="s">
        <v>58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2.75">
      <c r="A6" s="9" t="s">
        <v>171</v>
      </c>
      <c r="B6" s="9" t="s">
        <v>172</v>
      </c>
      <c r="C6" s="9" t="s">
        <v>173</v>
      </c>
      <c r="D6" s="9" t="str">
        <f>"0,6047"</f>
        <v>0,6047</v>
      </c>
      <c r="E6" s="9" t="s">
        <v>19</v>
      </c>
      <c r="F6" s="9" t="s">
        <v>20</v>
      </c>
      <c r="G6" s="10" t="s">
        <v>25</v>
      </c>
      <c r="H6" s="11" t="s">
        <v>40</v>
      </c>
      <c r="I6" s="11" t="s">
        <v>65</v>
      </c>
      <c r="J6" s="11"/>
      <c r="K6" s="9" t="str">
        <f>"100,0"</f>
        <v>100,0</v>
      </c>
      <c r="L6" s="10" t="str">
        <f>"60,4750"</f>
        <v>60,4750</v>
      </c>
      <c r="M6" s="9" t="s">
        <v>27</v>
      </c>
    </row>
    <row r="7" spans="1:13" ht="12.75">
      <c r="A7" s="12" t="s">
        <v>175</v>
      </c>
      <c r="B7" s="12" t="s">
        <v>176</v>
      </c>
      <c r="C7" s="12" t="s">
        <v>177</v>
      </c>
      <c r="D7" s="12" t="str">
        <f>"0,6055"</f>
        <v>0,6055</v>
      </c>
      <c r="E7" s="12" t="s">
        <v>33</v>
      </c>
      <c r="F7" s="12" t="s">
        <v>34</v>
      </c>
      <c r="G7" s="15" t="s">
        <v>25</v>
      </c>
      <c r="H7" s="15" t="s">
        <v>38</v>
      </c>
      <c r="I7" s="13" t="s">
        <v>39</v>
      </c>
      <c r="J7" s="13"/>
      <c r="K7" s="12" t="str">
        <f>"105,0"</f>
        <v>105,0</v>
      </c>
      <c r="L7" s="15" t="str">
        <f>"97,5915"</f>
        <v>97,5915</v>
      </c>
      <c r="M7" s="12" t="s">
        <v>57</v>
      </c>
    </row>
    <row r="9" spans="5:6" ht="12.75">
      <c r="E9" s="42" t="s">
        <v>76</v>
      </c>
      <c r="F9" s="5" t="s">
        <v>488</v>
      </c>
    </row>
    <row r="10" spans="5:6" ht="12.75">
      <c r="E10" s="42" t="s">
        <v>77</v>
      </c>
      <c r="F10" s="5" t="s">
        <v>489</v>
      </c>
    </row>
    <row r="11" spans="5:6" ht="12.75">
      <c r="E11" s="42" t="s">
        <v>78</v>
      </c>
      <c r="F11" s="5" t="s">
        <v>490</v>
      </c>
    </row>
    <row r="12" spans="5:6" ht="12.75">
      <c r="E12" s="42" t="s">
        <v>79</v>
      </c>
      <c r="F12" s="5" t="s">
        <v>491</v>
      </c>
    </row>
    <row r="13" spans="5:6" ht="12.75">
      <c r="E13" s="42" t="s">
        <v>79</v>
      </c>
      <c r="F13" s="5" t="s">
        <v>492</v>
      </c>
    </row>
    <row r="14" spans="5:6" ht="12.75">
      <c r="E14" s="42" t="s">
        <v>80</v>
      </c>
      <c r="F14" s="5" t="s">
        <v>493</v>
      </c>
    </row>
    <row r="15" ht="15">
      <c r="E15" s="14"/>
    </row>
    <row r="17" spans="1:2" ht="18">
      <c r="A17" s="16" t="s">
        <v>81</v>
      </c>
      <c r="B17" s="16"/>
    </row>
    <row r="18" spans="1:2" ht="15">
      <c r="A18" s="17" t="s">
        <v>95</v>
      </c>
      <c r="B18" s="17"/>
    </row>
    <row r="19" spans="1:2" ht="14.25">
      <c r="A19" s="19"/>
      <c r="B19" s="20" t="s">
        <v>83</v>
      </c>
    </row>
    <row r="20" spans="1:5" ht="15">
      <c r="A20" s="21" t="s">
        <v>84</v>
      </c>
      <c r="B20" s="21" t="s">
        <v>85</v>
      </c>
      <c r="C20" s="21" t="s">
        <v>86</v>
      </c>
      <c r="D20" s="21" t="s">
        <v>87</v>
      </c>
      <c r="E20" s="21" t="s">
        <v>88</v>
      </c>
    </row>
    <row r="21" spans="1:5" ht="12.75">
      <c r="A21" s="18" t="s">
        <v>170</v>
      </c>
      <c r="B21" s="5" t="s">
        <v>83</v>
      </c>
      <c r="C21" s="5" t="s">
        <v>103</v>
      </c>
      <c r="D21" s="5" t="s">
        <v>25</v>
      </c>
      <c r="E21" s="22" t="s">
        <v>178</v>
      </c>
    </row>
    <row r="23" spans="1:2" ht="14.25">
      <c r="A23" s="19"/>
      <c r="B23" s="20" t="s">
        <v>120</v>
      </c>
    </row>
    <row r="24" spans="1:5" ht="15">
      <c r="A24" s="21" t="s">
        <v>84</v>
      </c>
      <c r="B24" s="21" t="s">
        <v>85</v>
      </c>
      <c r="C24" s="21" t="s">
        <v>86</v>
      </c>
      <c r="D24" s="21" t="s">
        <v>87</v>
      </c>
      <c r="E24" s="21" t="s">
        <v>88</v>
      </c>
    </row>
    <row r="25" spans="1:5" ht="12.75">
      <c r="A25" s="18" t="s">
        <v>174</v>
      </c>
      <c r="B25" s="5" t="s">
        <v>158</v>
      </c>
      <c r="C25" s="5" t="s">
        <v>103</v>
      </c>
      <c r="D25" s="5" t="s">
        <v>38</v>
      </c>
      <c r="E25" s="22" t="s">
        <v>179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1.87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7.625" style="4" bestFit="1" customWidth="1"/>
    <col min="13" max="13" width="16.25390625" style="5" bestFit="1" customWidth="1"/>
    <col min="14" max="16384" width="9.125" style="4" customWidth="1"/>
  </cols>
  <sheetData>
    <row r="1" spans="1:13" s="3" customFormat="1" ht="28.5" customHeight="1">
      <c r="A1" s="60" t="s">
        <v>162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3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70" t="s">
        <v>10</v>
      </c>
      <c r="E3" s="70" t="s">
        <v>4</v>
      </c>
      <c r="F3" s="70" t="s">
        <v>8</v>
      </c>
      <c r="G3" s="70" t="s">
        <v>12</v>
      </c>
      <c r="H3" s="70"/>
      <c r="I3" s="70"/>
      <c r="J3" s="70"/>
      <c r="K3" s="70" t="s">
        <v>161</v>
      </c>
      <c r="L3" s="70" t="s">
        <v>3</v>
      </c>
      <c r="M3" s="57" t="s">
        <v>2</v>
      </c>
    </row>
    <row r="4" spans="1:13" s="1" customFormat="1" ht="21" customHeight="1" thickBot="1">
      <c r="A4" s="67"/>
      <c r="B4" s="69"/>
      <c r="C4" s="69"/>
      <c r="D4" s="69"/>
      <c r="E4" s="69"/>
      <c r="F4" s="69"/>
      <c r="G4" s="2">
        <v>1</v>
      </c>
      <c r="H4" s="2">
        <v>2</v>
      </c>
      <c r="I4" s="2">
        <v>3</v>
      </c>
      <c r="J4" s="2" t="s">
        <v>5</v>
      </c>
      <c r="K4" s="69"/>
      <c r="L4" s="69"/>
      <c r="M4" s="58"/>
    </row>
    <row r="5" spans="1:12" ht="15">
      <c r="A5" s="59" t="s">
        <v>110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2.75">
      <c r="A6" s="6" t="s">
        <v>164</v>
      </c>
      <c r="B6" s="6" t="s">
        <v>165</v>
      </c>
      <c r="C6" s="6" t="s">
        <v>166</v>
      </c>
      <c r="D6" s="6" t="str">
        <f>"0,6813"</f>
        <v>0,6813</v>
      </c>
      <c r="E6" s="6" t="s">
        <v>167</v>
      </c>
      <c r="F6" s="6" t="s">
        <v>34</v>
      </c>
      <c r="G6" s="8" t="s">
        <v>26</v>
      </c>
      <c r="H6" s="8" t="s">
        <v>40</v>
      </c>
      <c r="I6" s="8" t="s">
        <v>66</v>
      </c>
      <c r="J6" s="7"/>
      <c r="K6" s="6" t="str">
        <f>"122,5"</f>
        <v>122,5</v>
      </c>
      <c r="L6" s="8" t="str">
        <f>"83,4654"</f>
        <v>83,4654</v>
      </c>
      <c r="M6" s="6" t="s">
        <v>712</v>
      </c>
    </row>
    <row r="8" spans="5:6" ht="15">
      <c r="E8" s="14" t="s">
        <v>76</v>
      </c>
      <c r="F8" s="5" t="s">
        <v>488</v>
      </c>
    </row>
    <row r="9" spans="5:6" ht="15">
      <c r="E9" s="14" t="s">
        <v>77</v>
      </c>
      <c r="F9" s="5" t="s">
        <v>489</v>
      </c>
    </row>
    <row r="10" spans="5:6" ht="15">
      <c r="E10" s="14" t="s">
        <v>78</v>
      </c>
      <c r="F10" s="5" t="s">
        <v>490</v>
      </c>
    </row>
    <row r="11" spans="5:6" ht="15">
      <c r="E11" s="14" t="s">
        <v>79</v>
      </c>
      <c r="F11" s="5" t="s">
        <v>491</v>
      </c>
    </row>
    <row r="12" spans="5:6" ht="15">
      <c r="E12" s="14" t="s">
        <v>79</v>
      </c>
      <c r="F12" s="5" t="s">
        <v>492</v>
      </c>
    </row>
    <row r="13" spans="5:6" ht="15">
      <c r="E13" s="14" t="s">
        <v>80</v>
      </c>
      <c r="F13" s="5" t="s">
        <v>493</v>
      </c>
    </row>
    <row r="14" ht="15">
      <c r="E14" s="14"/>
    </row>
    <row r="16" spans="1:2" ht="18">
      <c r="A16" s="16" t="s">
        <v>81</v>
      </c>
      <c r="B16" s="16"/>
    </row>
    <row r="17" spans="1:2" ht="15">
      <c r="A17" s="17" t="s">
        <v>82</v>
      </c>
      <c r="B17" s="17"/>
    </row>
    <row r="18" spans="1:2" ht="14.25">
      <c r="A18" s="19"/>
      <c r="B18" s="20" t="s">
        <v>83</v>
      </c>
    </row>
    <row r="19" spans="1:5" ht="15">
      <c r="A19" s="21" t="s">
        <v>84</v>
      </c>
      <c r="B19" s="21" t="s">
        <v>85</v>
      </c>
      <c r="C19" s="21" t="s">
        <v>86</v>
      </c>
      <c r="D19" s="21" t="s">
        <v>87</v>
      </c>
      <c r="E19" s="21" t="s">
        <v>88</v>
      </c>
    </row>
    <row r="20" spans="1:5" ht="12.75">
      <c r="A20" s="18" t="s">
        <v>163</v>
      </c>
      <c r="B20" s="5" t="s">
        <v>83</v>
      </c>
      <c r="C20" s="5" t="s">
        <v>122</v>
      </c>
      <c r="D20" s="5" t="s">
        <v>66</v>
      </c>
      <c r="E20" s="22" t="s">
        <v>168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4.12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7.625" style="4" bestFit="1" customWidth="1"/>
    <col min="13" max="13" width="11.625" style="5" bestFit="1" customWidth="1"/>
    <col min="14" max="16384" width="9.125" style="4" customWidth="1"/>
  </cols>
  <sheetData>
    <row r="1" spans="1:13" s="3" customFormat="1" ht="28.5" customHeight="1">
      <c r="A1" s="60" t="s">
        <v>125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3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70" t="s">
        <v>10</v>
      </c>
      <c r="E3" s="70" t="s">
        <v>4</v>
      </c>
      <c r="F3" s="70" t="s">
        <v>8</v>
      </c>
      <c r="G3" s="70" t="s">
        <v>12</v>
      </c>
      <c r="H3" s="70"/>
      <c r="I3" s="70"/>
      <c r="J3" s="70"/>
      <c r="K3" s="70" t="s">
        <v>161</v>
      </c>
      <c r="L3" s="70" t="s">
        <v>3</v>
      </c>
      <c r="M3" s="57" t="s">
        <v>2</v>
      </c>
    </row>
    <row r="4" spans="1:13" s="1" customFormat="1" ht="21" customHeight="1" thickBot="1">
      <c r="A4" s="67"/>
      <c r="B4" s="69"/>
      <c r="C4" s="69"/>
      <c r="D4" s="69"/>
      <c r="E4" s="69"/>
      <c r="F4" s="69"/>
      <c r="G4" s="2">
        <v>1</v>
      </c>
      <c r="H4" s="2">
        <v>2</v>
      </c>
      <c r="I4" s="2">
        <v>3</v>
      </c>
      <c r="J4" s="2" t="s">
        <v>5</v>
      </c>
      <c r="K4" s="69"/>
      <c r="L4" s="69"/>
      <c r="M4" s="58"/>
    </row>
    <row r="5" spans="1:12" ht="15">
      <c r="A5" s="59" t="s">
        <v>58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2.75">
      <c r="A6" s="9" t="s">
        <v>127</v>
      </c>
      <c r="B6" s="9" t="s">
        <v>128</v>
      </c>
      <c r="C6" s="9" t="s">
        <v>129</v>
      </c>
      <c r="D6" s="9" t="str">
        <f>"0,5945"</f>
        <v>0,5945</v>
      </c>
      <c r="E6" s="9" t="s">
        <v>33</v>
      </c>
      <c r="F6" s="9" t="s">
        <v>130</v>
      </c>
      <c r="G6" s="10" t="s">
        <v>131</v>
      </c>
      <c r="H6" s="55" t="s">
        <v>132</v>
      </c>
      <c r="I6" s="10" t="s">
        <v>133</v>
      </c>
      <c r="J6" s="11"/>
      <c r="K6" s="9" t="str">
        <f>"147,5"</f>
        <v>147,5</v>
      </c>
      <c r="L6" s="10" t="str">
        <f>"87,6888"</f>
        <v>87,6888</v>
      </c>
      <c r="M6" s="9" t="s">
        <v>57</v>
      </c>
    </row>
    <row r="7" spans="1:13" ht="12.75">
      <c r="A7" s="12" t="s">
        <v>135</v>
      </c>
      <c r="B7" s="12" t="s">
        <v>136</v>
      </c>
      <c r="C7" s="12" t="s">
        <v>137</v>
      </c>
      <c r="D7" s="12" t="str">
        <f>"0,5989"</f>
        <v>0,5989</v>
      </c>
      <c r="E7" s="12" t="s">
        <v>33</v>
      </c>
      <c r="F7" s="12" t="s">
        <v>34</v>
      </c>
      <c r="G7" s="15" t="s">
        <v>138</v>
      </c>
      <c r="H7" s="15" t="s">
        <v>38</v>
      </c>
      <c r="I7" s="15" t="s">
        <v>39</v>
      </c>
      <c r="J7" s="13"/>
      <c r="K7" s="12" t="str">
        <f>"110,0"</f>
        <v>110,0</v>
      </c>
      <c r="L7" s="15" t="str">
        <f>"97,4928"</f>
        <v>97,4928</v>
      </c>
      <c r="M7" s="12" t="s">
        <v>57</v>
      </c>
    </row>
    <row r="9" spans="1:12" ht="15">
      <c r="A9" s="72" t="s">
        <v>139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3" ht="12.75">
      <c r="A10" s="6" t="s">
        <v>140</v>
      </c>
      <c r="B10" s="6" t="s">
        <v>141</v>
      </c>
      <c r="C10" s="6" t="s">
        <v>142</v>
      </c>
      <c r="D10" s="6" t="str">
        <f>"0,5792"</f>
        <v>0,5792</v>
      </c>
      <c r="E10" s="6" t="s">
        <v>33</v>
      </c>
      <c r="F10" s="6" t="s">
        <v>143</v>
      </c>
      <c r="G10" s="7" t="s">
        <v>144</v>
      </c>
      <c r="H10" s="7" t="s">
        <v>144</v>
      </c>
      <c r="I10" s="7" t="s">
        <v>144</v>
      </c>
      <c r="J10" s="7"/>
      <c r="K10" s="6" t="str">
        <f>"0.00"</f>
        <v>0.00</v>
      </c>
      <c r="L10" s="8" t="str">
        <f>"0,0000"</f>
        <v>0,0000</v>
      </c>
      <c r="M10" s="6" t="s">
        <v>145</v>
      </c>
    </row>
    <row r="12" spans="1:12" ht="15">
      <c r="A12" s="72" t="s">
        <v>69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3" ht="12.75">
      <c r="A13" s="9" t="s">
        <v>147</v>
      </c>
      <c r="B13" s="9" t="s">
        <v>148</v>
      </c>
      <c r="C13" s="9" t="s">
        <v>149</v>
      </c>
      <c r="D13" s="9" t="str">
        <f>"0,5408"</f>
        <v>0,5408</v>
      </c>
      <c r="E13" s="9" t="s">
        <v>33</v>
      </c>
      <c r="F13" s="9" t="s">
        <v>130</v>
      </c>
      <c r="G13" s="10" t="s">
        <v>131</v>
      </c>
      <c r="H13" s="10" t="s">
        <v>150</v>
      </c>
      <c r="I13" s="11" t="s">
        <v>75</v>
      </c>
      <c r="J13" s="11"/>
      <c r="K13" s="9" t="str">
        <f>"145,0"</f>
        <v>145,0</v>
      </c>
      <c r="L13" s="10" t="str">
        <f>"78,4088"</f>
        <v>78,4088</v>
      </c>
      <c r="M13" s="9" t="s">
        <v>57</v>
      </c>
    </row>
    <row r="14" spans="1:13" ht="12.75">
      <c r="A14" s="12" t="s">
        <v>152</v>
      </c>
      <c r="B14" s="12" t="s">
        <v>153</v>
      </c>
      <c r="C14" s="12" t="s">
        <v>154</v>
      </c>
      <c r="D14" s="12" t="str">
        <f>"0,5365"</f>
        <v>0,5365</v>
      </c>
      <c r="E14" s="12" t="s">
        <v>33</v>
      </c>
      <c r="F14" s="12" t="s">
        <v>34</v>
      </c>
      <c r="G14" s="15" t="s">
        <v>39</v>
      </c>
      <c r="H14" s="15" t="s">
        <v>155</v>
      </c>
      <c r="I14" s="13"/>
      <c r="J14" s="13"/>
      <c r="K14" s="12" t="str">
        <f>"117,5"</f>
        <v>117,5</v>
      </c>
      <c r="L14" s="15" t="str">
        <f>"76,2138"</f>
        <v>76,2138</v>
      </c>
      <c r="M14" s="12" t="s">
        <v>57</v>
      </c>
    </row>
    <row r="16" spans="5:6" ht="15">
      <c r="E16" s="14" t="s">
        <v>76</v>
      </c>
      <c r="F16" s="5" t="s">
        <v>488</v>
      </c>
    </row>
    <row r="17" spans="5:6" ht="15">
      <c r="E17" s="14" t="s">
        <v>77</v>
      </c>
      <c r="F17" s="5" t="s">
        <v>489</v>
      </c>
    </row>
    <row r="18" spans="5:6" ht="15">
      <c r="E18" s="14" t="s">
        <v>78</v>
      </c>
      <c r="F18" s="5" t="s">
        <v>490</v>
      </c>
    </row>
    <row r="19" spans="5:6" ht="15">
      <c r="E19" s="14" t="s">
        <v>79</v>
      </c>
      <c r="F19" s="5" t="s">
        <v>491</v>
      </c>
    </row>
    <row r="20" spans="5:6" ht="15">
      <c r="E20" s="14" t="s">
        <v>79</v>
      </c>
      <c r="F20" s="5" t="s">
        <v>492</v>
      </c>
    </row>
    <row r="21" spans="5:6" ht="15">
      <c r="E21" s="14" t="s">
        <v>80</v>
      </c>
      <c r="F21" s="5" t="s">
        <v>493</v>
      </c>
    </row>
    <row r="22" ht="15">
      <c r="E22" s="14"/>
    </row>
    <row r="24" spans="1:2" ht="18">
      <c r="A24" s="16" t="s">
        <v>81</v>
      </c>
      <c r="B24" s="16"/>
    </row>
    <row r="25" spans="1:2" ht="15">
      <c r="A25" s="17" t="s">
        <v>95</v>
      </c>
      <c r="B25" s="17"/>
    </row>
    <row r="26" spans="1:2" ht="14.25">
      <c r="A26" s="19"/>
      <c r="B26" s="20" t="s">
        <v>83</v>
      </c>
    </row>
    <row r="27" spans="1:5" ht="15">
      <c r="A27" s="21" t="s">
        <v>84</v>
      </c>
      <c r="B27" s="21" t="s">
        <v>85</v>
      </c>
      <c r="C27" s="21" t="s">
        <v>86</v>
      </c>
      <c r="D27" s="21" t="s">
        <v>87</v>
      </c>
      <c r="E27" s="21" t="s">
        <v>88</v>
      </c>
    </row>
    <row r="28" spans="1:5" ht="12.75">
      <c r="A28" s="18" t="s">
        <v>126</v>
      </c>
      <c r="B28" s="5" t="s">
        <v>83</v>
      </c>
      <c r="C28" s="5" t="s">
        <v>103</v>
      </c>
      <c r="D28" s="5" t="s">
        <v>133</v>
      </c>
      <c r="E28" s="22" t="s">
        <v>156</v>
      </c>
    </row>
    <row r="29" spans="1:5" ht="12.75">
      <c r="A29" s="18" t="s">
        <v>146</v>
      </c>
      <c r="B29" s="5" t="s">
        <v>83</v>
      </c>
      <c r="C29" s="5" t="s">
        <v>106</v>
      </c>
      <c r="D29" s="5" t="s">
        <v>150</v>
      </c>
      <c r="E29" s="22" t="s">
        <v>157</v>
      </c>
    </row>
    <row r="31" spans="1:2" ht="14.25">
      <c r="A31" s="19"/>
      <c r="B31" s="20" t="s">
        <v>120</v>
      </c>
    </row>
    <row r="32" spans="1:5" ht="15">
      <c r="A32" s="21" t="s">
        <v>84</v>
      </c>
      <c r="B32" s="21" t="s">
        <v>85</v>
      </c>
      <c r="C32" s="21" t="s">
        <v>86</v>
      </c>
      <c r="D32" s="21" t="s">
        <v>87</v>
      </c>
      <c r="E32" s="21" t="s">
        <v>88</v>
      </c>
    </row>
    <row r="33" spans="1:5" ht="12.75">
      <c r="A33" s="18" t="s">
        <v>134</v>
      </c>
      <c r="B33" s="5" t="s">
        <v>158</v>
      </c>
      <c r="C33" s="5" t="s">
        <v>103</v>
      </c>
      <c r="D33" s="5" t="s">
        <v>39</v>
      </c>
      <c r="E33" s="22" t="s">
        <v>159</v>
      </c>
    </row>
    <row r="34" spans="1:5" ht="12.75">
      <c r="A34" s="18" t="s">
        <v>151</v>
      </c>
      <c r="B34" s="5" t="s">
        <v>121</v>
      </c>
      <c r="C34" s="5" t="s">
        <v>106</v>
      </c>
      <c r="D34" s="5" t="s">
        <v>155</v>
      </c>
      <c r="E34" s="22" t="s">
        <v>160</v>
      </c>
    </row>
  </sheetData>
  <sheetProtection/>
  <mergeCells count="14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</mergeCells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PageLayoutView="0" workbookViewId="0" topLeftCell="A1">
      <selection activeCell="O25" sqref="O25"/>
    </sheetView>
  </sheetViews>
  <sheetFormatPr defaultColWidth="9.00390625" defaultRowHeight="12.75"/>
  <cols>
    <col min="1" max="1" width="26.00390625" style="5" bestFit="1" customWidth="1"/>
    <col min="2" max="2" width="28.37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4.75390625" style="5" bestFit="1" customWidth="1"/>
    <col min="7" max="9" width="5.625" style="4" bestFit="1" customWidth="1"/>
    <col min="10" max="10" width="4.875" style="4" bestFit="1" customWidth="1"/>
    <col min="11" max="13" width="5.625" style="4" bestFit="1" customWidth="1"/>
    <col min="14" max="14" width="4.875" style="4" bestFit="1" customWidth="1"/>
    <col min="15" max="17" width="5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14.375" style="5" bestFit="1" customWidth="1"/>
    <col min="22" max="16384" width="9.125" style="4" customWidth="1"/>
  </cols>
  <sheetData>
    <row r="1" spans="1:21" s="3" customFormat="1" ht="28.5" customHeight="1">
      <c r="A1" s="60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</row>
    <row r="2" spans="1:21" s="3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s="1" customFormat="1" ht="12.75" customHeight="1">
      <c r="A3" s="66" t="s">
        <v>0</v>
      </c>
      <c r="B3" s="68" t="s">
        <v>6</v>
      </c>
      <c r="C3" s="68" t="s">
        <v>7</v>
      </c>
      <c r="D3" s="70" t="s">
        <v>10</v>
      </c>
      <c r="E3" s="70" t="s">
        <v>4</v>
      </c>
      <c r="F3" s="70" t="s">
        <v>8</v>
      </c>
      <c r="G3" s="70" t="s">
        <v>11</v>
      </c>
      <c r="H3" s="70"/>
      <c r="I3" s="70"/>
      <c r="J3" s="70"/>
      <c r="K3" s="70" t="s">
        <v>12</v>
      </c>
      <c r="L3" s="70"/>
      <c r="M3" s="70"/>
      <c r="N3" s="70"/>
      <c r="O3" s="70" t="s">
        <v>13</v>
      </c>
      <c r="P3" s="70"/>
      <c r="Q3" s="70"/>
      <c r="R3" s="70"/>
      <c r="S3" s="70" t="s">
        <v>1</v>
      </c>
      <c r="T3" s="70" t="s">
        <v>3</v>
      </c>
      <c r="U3" s="57" t="s">
        <v>2</v>
      </c>
    </row>
    <row r="4" spans="1:21" s="1" customFormat="1" ht="21" customHeight="1" thickBot="1">
      <c r="A4" s="67"/>
      <c r="B4" s="69"/>
      <c r="C4" s="69"/>
      <c r="D4" s="69"/>
      <c r="E4" s="69"/>
      <c r="F4" s="69"/>
      <c r="G4" s="2">
        <v>1</v>
      </c>
      <c r="H4" s="2">
        <v>2</v>
      </c>
      <c r="I4" s="2">
        <v>3</v>
      </c>
      <c r="J4" s="2" t="s">
        <v>5</v>
      </c>
      <c r="K4" s="2">
        <v>1</v>
      </c>
      <c r="L4" s="2">
        <v>2</v>
      </c>
      <c r="M4" s="2">
        <v>3</v>
      </c>
      <c r="N4" s="2" t="s">
        <v>5</v>
      </c>
      <c r="O4" s="2">
        <v>1</v>
      </c>
      <c r="P4" s="2">
        <v>2</v>
      </c>
      <c r="Q4" s="2">
        <v>3</v>
      </c>
      <c r="R4" s="2" t="s">
        <v>5</v>
      </c>
      <c r="S4" s="69"/>
      <c r="T4" s="69"/>
      <c r="U4" s="58"/>
    </row>
    <row r="5" spans="1:20" ht="15">
      <c r="A5" s="59" t="s">
        <v>14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1" ht="12.75">
      <c r="A6" s="6" t="s">
        <v>16</v>
      </c>
      <c r="B6" s="6" t="s">
        <v>17</v>
      </c>
      <c r="C6" s="6" t="s">
        <v>18</v>
      </c>
      <c r="D6" s="6" t="str">
        <f>"0,8974"</f>
        <v>0,8974</v>
      </c>
      <c r="E6" s="6" t="s">
        <v>19</v>
      </c>
      <c r="F6" s="6" t="s">
        <v>20</v>
      </c>
      <c r="G6" s="7" t="s">
        <v>21</v>
      </c>
      <c r="H6" s="7" t="s">
        <v>21</v>
      </c>
      <c r="I6" s="8" t="s">
        <v>21</v>
      </c>
      <c r="J6" s="7"/>
      <c r="K6" s="8" t="s">
        <v>22</v>
      </c>
      <c r="L6" s="8" t="s">
        <v>23</v>
      </c>
      <c r="M6" s="8" t="s">
        <v>24</v>
      </c>
      <c r="N6" s="7"/>
      <c r="O6" s="8" t="s">
        <v>21</v>
      </c>
      <c r="P6" s="8" t="s">
        <v>25</v>
      </c>
      <c r="Q6" s="8" t="s">
        <v>26</v>
      </c>
      <c r="R6" s="7"/>
      <c r="S6" s="6" t="str">
        <f>"250,0"</f>
        <v>250,0</v>
      </c>
      <c r="T6" s="8" t="str">
        <f>"224,3375"</f>
        <v>224,3375</v>
      </c>
      <c r="U6" s="6" t="s">
        <v>27</v>
      </c>
    </row>
    <row r="8" spans="1:20" ht="15">
      <c r="A8" s="72" t="s">
        <v>28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1" ht="12.75">
      <c r="A9" s="6" t="s">
        <v>30</v>
      </c>
      <c r="B9" s="6" t="s">
        <v>31</v>
      </c>
      <c r="C9" s="6" t="s">
        <v>32</v>
      </c>
      <c r="D9" s="6" t="str">
        <f>"0,7383"</f>
        <v>0,7383</v>
      </c>
      <c r="E9" s="6" t="s">
        <v>33</v>
      </c>
      <c r="F9" s="6" t="s">
        <v>34</v>
      </c>
      <c r="G9" s="7" t="s">
        <v>35</v>
      </c>
      <c r="H9" s="8" t="s">
        <v>35</v>
      </c>
      <c r="I9" s="8" t="s">
        <v>36</v>
      </c>
      <c r="J9" s="7"/>
      <c r="K9" s="7" t="s">
        <v>37</v>
      </c>
      <c r="L9" s="8" t="s">
        <v>37</v>
      </c>
      <c r="M9" s="8" t="s">
        <v>24</v>
      </c>
      <c r="N9" s="7"/>
      <c r="O9" s="8" t="s">
        <v>38</v>
      </c>
      <c r="P9" s="8" t="s">
        <v>39</v>
      </c>
      <c r="Q9" s="8" t="s">
        <v>40</v>
      </c>
      <c r="R9" s="7"/>
      <c r="S9" s="6" t="str">
        <f>"242,5"</f>
        <v>242,5</v>
      </c>
      <c r="T9" s="8" t="str">
        <f>"179,0378"</f>
        <v>179,0378</v>
      </c>
      <c r="U9" s="6" t="s">
        <v>41</v>
      </c>
    </row>
    <row r="11" spans="1:20" ht="15">
      <c r="A11" s="72" t="s">
        <v>42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1" ht="12.75">
      <c r="A12" s="6" t="s">
        <v>44</v>
      </c>
      <c r="B12" s="6" t="s">
        <v>45</v>
      </c>
      <c r="C12" s="6" t="s">
        <v>46</v>
      </c>
      <c r="D12" s="6" t="str">
        <f>"0,7519"</f>
        <v>0,7519</v>
      </c>
      <c r="E12" s="6" t="s">
        <v>19</v>
      </c>
      <c r="F12" s="6" t="s">
        <v>20</v>
      </c>
      <c r="G12" s="8" t="s">
        <v>36</v>
      </c>
      <c r="H12" s="8" t="s">
        <v>47</v>
      </c>
      <c r="I12" s="8" t="s">
        <v>48</v>
      </c>
      <c r="J12" s="7"/>
      <c r="K12" s="8" t="s">
        <v>49</v>
      </c>
      <c r="L12" s="8" t="s">
        <v>50</v>
      </c>
      <c r="M12" s="8" t="s">
        <v>51</v>
      </c>
      <c r="N12" s="7"/>
      <c r="O12" s="8" t="s">
        <v>47</v>
      </c>
      <c r="P12" s="8" t="s">
        <v>48</v>
      </c>
      <c r="Q12" s="8" t="s">
        <v>21</v>
      </c>
      <c r="R12" s="7"/>
      <c r="S12" s="6" t="str">
        <f>"217,5"</f>
        <v>217,5</v>
      </c>
      <c r="T12" s="8" t="str">
        <f>"201,1521"</f>
        <v>201,1521</v>
      </c>
      <c r="U12" s="6" t="s">
        <v>27</v>
      </c>
    </row>
    <row r="14" spans="1:20" ht="15">
      <c r="A14" s="72" t="s">
        <v>58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</row>
    <row r="15" spans="1:21" ht="12.75">
      <c r="A15" s="6" t="s">
        <v>60</v>
      </c>
      <c r="B15" s="6" t="s">
        <v>61</v>
      </c>
      <c r="C15" s="6" t="s">
        <v>62</v>
      </c>
      <c r="D15" s="6" t="str">
        <f>"0,5853"</f>
        <v>0,5853</v>
      </c>
      <c r="E15" s="6" t="s">
        <v>33</v>
      </c>
      <c r="F15" s="6" t="s">
        <v>34</v>
      </c>
      <c r="G15" s="8" t="s">
        <v>63</v>
      </c>
      <c r="H15" s="7" t="s">
        <v>64</v>
      </c>
      <c r="I15" s="7" t="s">
        <v>64</v>
      </c>
      <c r="J15" s="7"/>
      <c r="K15" s="8" t="s">
        <v>40</v>
      </c>
      <c r="L15" s="8" t="s">
        <v>65</v>
      </c>
      <c r="M15" s="8" t="s">
        <v>66</v>
      </c>
      <c r="N15" s="7"/>
      <c r="O15" s="7" t="s">
        <v>67</v>
      </c>
      <c r="P15" s="8" t="s">
        <v>67</v>
      </c>
      <c r="Q15" s="7" t="s">
        <v>68</v>
      </c>
      <c r="R15" s="7"/>
      <c r="S15" s="6" t="str">
        <f>"522,5"</f>
        <v>522,5</v>
      </c>
      <c r="T15" s="8" t="str">
        <f>"311,9357"</f>
        <v>311,9357</v>
      </c>
      <c r="U15" s="6" t="s">
        <v>57</v>
      </c>
    </row>
    <row r="17" spans="1:20" ht="15">
      <c r="A17" s="72" t="s">
        <v>69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1" ht="12.75">
      <c r="A18" s="6" t="s">
        <v>71</v>
      </c>
      <c r="B18" s="6" t="s">
        <v>72</v>
      </c>
      <c r="C18" s="6" t="s">
        <v>73</v>
      </c>
      <c r="D18" s="6" t="str">
        <f>"0,5377"</f>
        <v>0,5377</v>
      </c>
      <c r="E18" s="6" t="s">
        <v>33</v>
      </c>
      <c r="F18" s="6" t="s">
        <v>34</v>
      </c>
      <c r="G18" s="8" t="s">
        <v>67</v>
      </c>
      <c r="H18" s="8" t="s">
        <v>74</v>
      </c>
      <c r="I18" s="7"/>
      <c r="J18" s="7"/>
      <c r="K18" s="7" t="s">
        <v>75</v>
      </c>
      <c r="L18" s="7" t="s">
        <v>75</v>
      </c>
      <c r="M18" s="8" t="s">
        <v>75</v>
      </c>
      <c r="N18" s="7"/>
      <c r="O18" s="8" t="s">
        <v>74</v>
      </c>
      <c r="P18" s="7" t="s">
        <v>68</v>
      </c>
      <c r="Q18" s="7" t="s">
        <v>68</v>
      </c>
      <c r="R18" s="7"/>
      <c r="S18" s="6" t="str">
        <f>"615,0"</f>
        <v>615,0</v>
      </c>
      <c r="T18" s="8" t="str">
        <f>"330,6855"</f>
        <v>330,6855</v>
      </c>
      <c r="U18" s="6" t="s">
        <v>57</v>
      </c>
    </row>
    <row r="20" spans="5:6" ht="15">
      <c r="E20" s="14" t="s">
        <v>76</v>
      </c>
      <c r="F20" s="5" t="s">
        <v>488</v>
      </c>
    </row>
    <row r="21" spans="5:6" ht="15">
      <c r="E21" s="14" t="s">
        <v>77</v>
      </c>
      <c r="F21" s="5" t="s">
        <v>489</v>
      </c>
    </row>
    <row r="22" spans="5:6" ht="15">
      <c r="E22" s="14" t="s">
        <v>78</v>
      </c>
      <c r="F22" s="5" t="s">
        <v>490</v>
      </c>
    </row>
    <row r="23" spans="5:6" ht="15">
      <c r="E23" s="14" t="s">
        <v>79</v>
      </c>
      <c r="F23" s="5" t="s">
        <v>491</v>
      </c>
    </row>
    <row r="24" spans="5:6" ht="15">
      <c r="E24" s="14" t="s">
        <v>79</v>
      </c>
      <c r="F24" s="5" t="s">
        <v>492</v>
      </c>
    </row>
    <row r="25" spans="5:6" ht="15">
      <c r="E25" s="14" t="s">
        <v>80</v>
      </c>
      <c r="F25" s="5" t="s">
        <v>493</v>
      </c>
    </row>
    <row r="26" ht="15">
      <c r="E26" s="14"/>
    </row>
    <row r="28" spans="1:2" ht="18">
      <c r="A28" s="16" t="s">
        <v>81</v>
      </c>
      <c r="B28" s="16"/>
    </row>
    <row r="29" spans="1:2" ht="15">
      <c r="A29" s="17" t="s">
        <v>82</v>
      </c>
      <c r="B29" s="17"/>
    </row>
    <row r="30" spans="1:2" ht="14.25">
      <c r="A30" s="19"/>
      <c r="B30" s="20" t="s">
        <v>83</v>
      </c>
    </row>
    <row r="31" spans="1:5" ht="15">
      <c r="A31" s="21" t="s">
        <v>84</v>
      </c>
      <c r="B31" s="21" t="s">
        <v>85</v>
      </c>
      <c r="C31" s="21" t="s">
        <v>86</v>
      </c>
      <c r="D31" s="21" t="s">
        <v>87</v>
      </c>
      <c r="E31" s="21" t="s">
        <v>88</v>
      </c>
    </row>
    <row r="32" spans="1:5" ht="12.75">
      <c r="A32" s="18" t="s">
        <v>15</v>
      </c>
      <c r="B32" s="5" t="s">
        <v>83</v>
      </c>
      <c r="C32" s="5" t="s">
        <v>89</v>
      </c>
      <c r="D32" s="5" t="s">
        <v>90</v>
      </c>
      <c r="E32" s="22" t="s">
        <v>91</v>
      </c>
    </row>
    <row r="33" spans="1:5" ht="12.75">
      <c r="A33" s="18" t="s">
        <v>29</v>
      </c>
      <c r="B33" s="5" t="s">
        <v>83</v>
      </c>
      <c r="C33" s="5" t="s">
        <v>92</v>
      </c>
      <c r="D33" s="5" t="s">
        <v>93</v>
      </c>
      <c r="E33" s="22" t="s">
        <v>94</v>
      </c>
    </row>
    <row r="36" spans="1:2" ht="15">
      <c r="A36" s="17" t="s">
        <v>95</v>
      </c>
      <c r="B36" s="17"/>
    </row>
    <row r="37" spans="1:2" ht="14.25">
      <c r="A37" s="19"/>
      <c r="B37" s="20" t="s">
        <v>96</v>
      </c>
    </row>
    <row r="38" spans="1:5" ht="15">
      <c r="A38" s="21" t="s">
        <v>84</v>
      </c>
      <c r="B38" s="21" t="s">
        <v>85</v>
      </c>
      <c r="C38" s="21" t="s">
        <v>86</v>
      </c>
      <c r="D38" s="21" t="s">
        <v>87</v>
      </c>
      <c r="E38" s="21" t="s">
        <v>88</v>
      </c>
    </row>
    <row r="39" spans="1:5" ht="12.75">
      <c r="A39" s="18" t="s">
        <v>43</v>
      </c>
      <c r="B39" s="5" t="s">
        <v>97</v>
      </c>
      <c r="C39" s="5" t="s">
        <v>98</v>
      </c>
      <c r="D39" s="5" t="s">
        <v>99</v>
      </c>
      <c r="E39" s="22" t="s">
        <v>100</v>
      </c>
    </row>
    <row r="41" spans="1:2" ht="14.25">
      <c r="A41" s="19"/>
      <c r="B41" s="20" t="s">
        <v>101</v>
      </c>
    </row>
    <row r="42" spans="1:5" ht="15">
      <c r="A42" s="21" t="s">
        <v>84</v>
      </c>
      <c r="B42" s="21" t="s">
        <v>85</v>
      </c>
      <c r="C42" s="21" t="s">
        <v>86</v>
      </c>
      <c r="D42" s="21" t="s">
        <v>87</v>
      </c>
      <c r="E42" s="21" t="s">
        <v>88</v>
      </c>
    </row>
    <row r="43" spans="1:5" ht="12.75">
      <c r="A43" s="18" t="s">
        <v>59</v>
      </c>
      <c r="B43" s="5" t="s">
        <v>102</v>
      </c>
      <c r="C43" s="5" t="s">
        <v>103</v>
      </c>
      <c r="D43" s="5" t="s">
        <v>104</v>
      </c>
      <c r="E43" s="22" t="s">
        <v>105</v>
      </c>
    </row>
    <row r="45" spans="1:2" ht="14.25">
      <c r="A45" s="19"/>
      <c r="B45" s="20" t="s">
        <v>83</v>
      </c>
    </row>
    <row r="46" spans="1:5" ht="15">
      <c r="A46" s="21" t="s">
        <v>84</v>
      </c>
      <c r="B46" s="21" t="s">
        <v>85</v>
      </c>
      <c r="C46" s="21" t="s">
        <v>86</v>
      </c>
      <c r="D46" s="21" t="s">
        <v>87</v>
      </c>
      <c r="E46" s="21" t="s">
        <v>88</v>
      </c>
    </row>
    <row r="47" spans="1:5" ht="12.75">
      <c r="A47" s="18" t="s">
        <v>70</v>
      </c>
      <c r="B47" s="5" t="s">
        <v>83</v>
      </c>
      <c r="C47" s="5" t="s">
        <v>106</v>
      </c>
      <c r="D47" s="5" t="s">
        <v>107</v>
      </c>
      <c r="E47" s="22" t="s">
        <v>108</v>
      </c>
    </row>
  </sheetData>
  <sheetProtection/>
  <mergeCells count="18"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A5:T5"/>
    <mergeCell ref="A8:T8"/>
    <mergeCell ref="A11:T11"/>
    <mergeCell ref="A14:T14"/>
    <mergeCell ref="A17:T17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10.75390625" style="5" bestFit="1" customWidth="1"/>
    <col min="5" max="5" width="22.75390625" style="5" bestFit="1" customWidth="1"/>
    <col min="6" max="6" width="24.125" style="5" bestFit="1" customWidth="1"/>
    <col min="7" max="7" width="10.00390625" style="4" customWidth="1"/>
    <col min="8" max="8" width="10.75390625" style="32" customWidth="1"/>
    <col min="9" max="9" width="7.875" style="5" bestFit="1" customWidth="1"/>
    <col min="10" max="10" width="9.625" style="4" bestFit="1" customWidth="1"/>
    <col min="11" max="11" width="13.375" style="5" bestFit="1" customWidth="1"/>
    <col min="12" max="16384" width="9.125" style="4" customWidth="1"/>
  </cols>
  <sheetData>
    <row r="1" spans="1:11" s="3" customFormat="1" ht="28.5" customHeight="1">
      <c r="A1" s="60" t="s">
        <v>682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3" customFormat="1" ht="75.7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s="1" customFormat="1" ht="15">
      <c r="A3" s="66" t="s">
        <v>0</v>
      </c>
      <c r="B3" s="68" t="s">
        <v>6</v>
      </c>
      <c r="C3" s="68" t="s">
        <v>7</v>
      </c>
      <c r="D3" s="70"/>
      <c r="E3" s="70" t="s">
        <v>4</v>
      </c>
      <c r="F3" s="70" t="s">
        <v>8</v>
      </c>
      <c r="G3" s="70" t="s">
        <v>538</v>
      </c>
      <c r="H3" s="70"/>
      <c r="I3" s="70" t="s">
        <v>539</v>
      </c>
      <c r="J3" s="70" t="s">
        <v>3</v>
      </c>
      <c r="K3" s="57" t="s">
        <v>2</v>
      </c>
    </row>
    <row r="4" spans="1:11" s="1" customFormat="1" ht="15.75" thickBot="1">
      <c r="A4" s="67"/>
      <c r="B4" s="69"/>
      <c r="C4" s="69"/>
      <c r="D4" s="69"/>
      <c r="E4" s="69"/>
      <c r="F4" s="69"/>
      <c r="G4" s="2" t="s">
        <v>540</v>
      </c>
      <c r="H4" s="31" t="s">
        <v>541</v>
      </c>
      <c r="I4" s="69"/>
      <c r="J4" s="69"/>
      <c r="K4" s="58"/>
    </row>
    <row r="5" spans="1:10" ht="15">
      <c r="A5" s="59" t="s">
        <v>58</v>
      </c>
      <c r="B5" s="59"/>
      <c r="C5" s="59"/>
      <c r="D5" s="59"/>
      <c r="E5" s="59"/>
      <c r="F5" s="59"/>
      <c r="G5" s="59"/>
      <c r="H5" s="59"/>
      <c r="I5" s="59"/>
      <c r="J5" s="59"/>
    </row>
    <row r="6" spans="1:11" ht="12.75">
      <c r="A6" s="6" t="s">
        <v>683</v>
      </c>
      <c r="B6" s="6" t="s">
        <v>709</v>
      </c>
      <c r="C6" s="6" t="s">
        <v>595</v>
      </c>
      <c r="D6" s="6"/>
      <c r="E6" s="6" t="s">
        <v>684</v>
      </c>
      <c r="F6" s="6" t="s">
        <v>34</v>
      </c>
      <c r="G6" s="8" t="s">
        <v>317</v>
      </c>
      <c r="H6" s="33">
        <v>46</v>
      </c>
      <c r="I6" s="6" t="s">
        <v>685</v>
      </c>
      <c r="J6" s="8" t="s">
        <v>710</v>
      </c>
      <c r="K6" s="6" t="s">
        <v>666</v>
      </c>
    </row>
    <row r="8" spans="5:6" ht="12.75">
      <c r="E8" s="42" t="s">
        <v>76</v>
      </c>
      <c r="F8" s="5" t="s">
        <v>488</v>
      </c>
    </row>
    <row r="9" spans="5:6" ht="12.75">
      <c r="E9" s="42" t="s">
        <v>77</v>
      </c>
      <c r="F9" s="5" t="s">
        <v>489</v>
      </c>
    </row>
    <row r="10" spans="5:6" ht="12.75">
      <c r="E10" s="42" t="s">
        <v>78</v>
      </c>
      <c r="F10" s="5" t="s">
        <v>490</v>
      </c>
    </row>
    <row r="11" spans="5:6" ht="12.75">
      <c r="E11" s="42" t="s">
        <v>79</v>
      </c>
      <c r="F11" s="5" t="s">
        <v>491</v>
      </c>
    </row>
    <row r="12" spans="5:6" ht="12.75">
      <c r="E12" s="42" t="s">
        <v>79</v>
      </c>
      <c r="F12" s="5" t="s">
        <v>492</v>
      </c>
    </row>
    <row r="13" spans="5:6" ht="12.75">
      <c r="E13" s="42" t="s">
        <v>80</v>
      </c>
      <c r="F13" s="5" t="s">
        <v>493</v>
      </c>
    </row>
    <row r="14" ht="15">
      <c r="E14" s="14"/>
    </row>
    <row r="16" spans="1:6" ht="18">
      <c r="A16" s="49"/>
      <c r="B16" s="49"/>
      <c r="C16" s="45"/>
      <c r="D16" s="45"/>
      <c r="E16" s="45"/>
      <c r="F16" s="45"/>
    </row>
    <row r="17" spans="1:6" ht="15">
      <c r="A17" s="50"/>
      <c r="B17" s="50"/>
      <c r="C17" s="45"/>
      <c r="D17" s="45"/>
      <c r="E17" s="45"/>
      <c r="F17" s="45"/>
    </row>
    <row r="18" spans="1:6" ht="14.25">
      <c r="A18" s="43"/>
      <c r="B18" s="44"/>
      <c r="C18" s="45"/>
      <c r="D18" s="45"/>
      <c r="E18" s="45"/>
      <c r="F18" s="45"/>
    </row>
    <row r="19" spans="1:6" ht="15">
      <c r="A19" s="46"/>
      <c r="B19" s="46"/>
      <c r="C19" s="46"/>
      <c r="D19" s="46"/>
      <c r="E19" s="46"/>
      <c r="F19" s="45"/>
    </row>
    <row r="20" spans="1:6" ht="12.75">
      <c r="A20" s="47"/>
      <c r="B20" s="45"/>
      <c r="C20" s="45"/>
      <c r="D20" s="45"/>
      <c r="E20" s="48"/>
      <c r="F20" s="45"/>
    </row>
    <row r="21" spans="1:6" ht="12.75">
      <c r="A21" s="47"/>
      <c r="B21" s="45"/>
      <c r="C21" s="45"/>
      <c r="D21" s="45"/>
      <c r="E21" s="48"/>
      <c r="F21" s="45"/>
    </row>
    <row r="22" spans="1:6" ht="12.75">
      <c r="A22" s="45"/>
      <c r="B22" s="45"/>
      <c r="C22" s="45"/>
      <c r="D22" s="45"/>
      <c r="E22" s="45"/>
      <c r="F22" s="45"/>
    </row>
    <row r="23" spans="1:6" ht="12.75">
      <c r="A23" s="45"/>
      <c r="B23" s="45"/>
      <c r="C23" s="45"/>
      <c r="D23" s="45"/>
      <c r="E23" s="45"/>
      <c r="F23" s="45"/>
    </row>
    <row r="24" spans="1:6" ht="12.75">
      <c r="A24" s="45"/>
      <c r="B24" s="45"/>
      <c r="C24" s="45"/>
      <c r="D24" s="45"/>
      <c r="E24" s="45"/>
      <c r="F24" s="45"/>
    </row>
    <row r="25" spans="1:6" ht="12.75">
      <c r="A25" s="45"/>
      <c r="B25" s="45"/>
      <c r="C25" s="45"/>
      <c r="D25" s="45"/>
      <c r="E25" s="45"/>
      <c r="F25" s="45"/>
    </row>
    <row r="26" spans="1:6" ht="12.75">
      <c r="A26" s="45"/>
      <c r="B26" s="45"/>
      <c r="C26" s="45"/>
      <c r="D26" s="45"/>
      <c r="E26" s="45"/>
      <c r="F26" s="45"/>
    </row>
    <row r="27" spans="1:6" ht="12.75">
      <c r="A27" s="45"/>
      <c r="B27" s="45"/>
      <c r="C27" s="45"/>
      <c r="D27" s="45"/>
      <c r="E27" s="45"/>
      <c r="F27" s="45"/>
    </row>
    <row r="28" spans="1:6" ht="12.75">
      <c r="A28" s="45"/>
      <c r="B28" s="45"/>
      <c r="C28" s="45"/>
      <c r="D28" s="45"/>
      <c r="E28" s="45"/>
      <c r="F28" s="45"/>
    </row>
    <row r="29" spans="1:6" ht="12.75">
      <c r="A29" s="45"/>
      <c r="B29" s="45"/>
      <c r="C29" s="45"/>
      <c r="D29" s="45"/>
      <c r="E29" s="45"/>
      <c r="F29" s="45"/>
    </row>
    <row r="30" spans="1:6" ht="12.75">
      <c r="A30" s="45"/>
      <c r="B30" s="45"/>
      <c r="C30" s="45"/>
      <c r="D30" s="45"/>
      <c r="E30" s="45"/>
      <c r="F30" s="45"/>
    </row>
    <row r="31" spans="1:6" ht="12.75">
      <c r="A31" s="45"/>
      <c r="B31" s="45"/>
      <c r="C31" s="45"/>
      <c r="D31" s="45"/>
      <c r="E31" s="45"/>
      <c r="F31" s="45"/>
    </row>
    <row r="32" spans="1:6" ht="12.75">
      <c r="A32" s="45"/>
      <c r="B32" s="45"/>
      <c r="C32" s="45"/>
      <c r="D32" s="45"/>
      <c r="E32" s="45"/>
      <c r="F32" s="45"/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F8" sqref="F8:F13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9.00390625" style="5" bestFit="1" customWidth="1"/>
    <col min="7" max="9" width="5.625" style="4" bestFit="1" customWidth="1"/>
    <col min="10" max="10" width="4.875" style="4" bestFit="1" customWidth="1"/>
    <col min="11" max="13" width="5.625" style="4" bestFit="1" customWidth="1"/>
    <col min="14" max="14" width="4.875" style="4" bestFit="1" customWidth="1"/>
    <col min="15" max="17" width="5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8.875" style="5" bestFit="1" customWidth="1"/>
    <col min="22" max="16384" width="9.125" style="4" customWidth="1"/>
  </cols>
  <sheetData>
    <row r="1" spans="1:21" s="3" customFormat="1" ht="28.5" customHeight="1">
      <c r="A1" s="60" t="s">
        <v>109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</row>
    <row r="2" spans="1:21" s="3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s="1" customFormat="1" ht="12.75" customHeight="1">
      <c r="A3" s="66" t="s">
        <v>0</v>
      </c>
      <c r="B3" s="68" t="s">
        <v>6</v>
      </c>
      <c r="C3" s="68" t="s">
        <v>7</v>
      </c>
      <c r="D3" s="70" t="s">
        <v>10</v>
      </c>
      <c r="E3" s="70" t="s">
        <v>4</v>
      </c>
      <c r="F3" s="70" t="s">
        <v>8</v>
      </c>
      <c r="G3" s="70" t="s">
        <v>11</v>
      </c>
      <c r="H3" s="70"/>
      <c r="I3" s="70"/>
      <c r="J3" s="70"/>
      <c r="K3" s="70" t="s">
        <v>12</v>
      </c>
      <c r="L3" s="70"/>
      <c r="M3" s="70"/>
      <c r="N3" s="70"/>
      <c r="O3" s="70" t="s">
        <v>13</v>
      </c>
      <c r="P3" s="70"/>
      <c r="Q3" s="70"/>
      <c r="R3" s="70"/>
      <c r="S3" s="70" t="s">
        <v>1</v>
      </c>
      <c r="T3" s="70" t="s">
        <v>3</v>
      </c>
      <c r="U3" s="57" t="s">
        <v>2</v>
      </c>
    </row>
    <row r="4" spans="1:21" s="1" customFormat="1" ht="21" customHeight="1" thickBot="1">
      <c r="A4" s="67"/>
      <c r="B4" s="69"/>
      <c r="C4" s="69"/>
      <c r="D4" s="69"/>
      <c r="E4" s="69"/>
      <c r="F4" s="69"/>
      <c r="G4" s="2">
        <v>1</v>
      </c>
      <c r="H4" s="2">
        <v>2</v>
      </c>
      <c r="I4" s="2">
        <v>3</v>
      </c>
      <c r="J4" s="2" t="s">
        <v>5</v>
      </c>
      <c r="K4" s="2">
        <v>1</v>
      </c>
      <c r="L4" s="2">
        <v>2</v>
      </c>
      <c r="M4" s="2">
        <v>3</v>
      </c>
      <c r="N4" s="2" t="s">
        <v>5</v>
      </c>
      <c r="O4" s="2">
        <v>1</v>
      </c>
      <c r="P4" s="2">
        <v>2</v>
      </c>
      <c r="Q4" s="2">
        <v>3</v>
      </c>
      <c r="R4" s="2" t="s">
        <v>5</v>
      </c>
      <c r="S4" s="69"/>
      <c r="T4" s="69"/>
      <c r="U4" s="58"/>
    </row>
    <row r="5" spans="1:20" ht="15">
      <c r="A5" s="59" t="s">
        <v>110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1" ht="12.75">
      <c r="A6" s="6" t="s">
        <v>112</v>
      </c>
      <c r="B6" s="6" t="s">
        <v>113</v>
      </c>
      <c r="C6" s="6" t="s">
        <v>114</v>
      </c>
      <c r="D6" s="6" t="str">
        <f>"0,6382"</f>
        <v>0,6382</v>
      </c>
      <c r="E6" s="6" t="s">
        <v>33</v>
      </c>
      <c r="F6" s="6" t="s">
        <v>115</v>
      </c>
      <c r="G6" s="8" t="s">
        <v>116</v>
      </c>
      <c r="H6" s="8" t="s">
        <v>63</v>
      </c>
      <c r="I6" s="7" t="s">
        <v>117</v>
      </c>
      <c r="J6" s="7"/>
      <c r="K6" s="8" t="s">
        <v>118</v>
      </c>
      <c r="L6" s="8" t="s">
        <v>65</v>
      </c>
      <c r="M6" s="8" t="s">
        <v>66</v>
      </c>
      <c r="N6" s="7"/>
      <c r="O6" s="8" t="s">
        <v>119</v>
      </c>
      <c r="P6" s="8" t="s">
        <v>67</v>
      </c>
      <c r="Q6" s="8" t="s">
        <v>74</v>
      </c>
      <c r="R6" s="7"/>
      <c r="S6" s="6" t="str">
        <f>"532,5"</f>
        <v>532,5</v>
      </c>
      <c r="T6" s="8" t="str">
        <f>"435,3370"</f>
        <v>435,3370</v>
      </c>
      <c r="U6" s="6" t="s">
        <v>57</v>
      </c>
    </row>
    <row r="8" spans="5:6" ht="15">
      <c r="E8" s="14" t="s">
        <v>76</v>
      </c>
      <c r="F8" s="5" t="s">
        <v>488</v>
      </c>
    </row>
    <row r="9" spans="5:6" ht="15">
      <c r="E9" s="14" t="s">
        <v>77</v>
      </c>
      <c r="F9" s="5" t="s">
        <v>489</v>
      </c>
    </row>
    <row r="10" spans="5:6" ht="15">
      <c r="E10" s="14" t="s">
        <v>78</v>
      </c>
      <c r="F10" s="5" t="s">
        <v>490</v>
      </c>
    </row>
    <row r="11" spans="5:6" ht="15">
      <c r="E11" s="14" t="s">
        <v>79</v>
      </c>
      <c r="F11" s="5" t="s">
        <v>491</v>
      </c>
    </row>
    <row r="12" spans="5:6" ht="15">
      <c r="E12" s="14" t="s">
        <v>79</v>
      </c>
      <c r="F12" s="5" t="s">
        <v>492</v>
      </c>
    </row>
    <row r="13" spans="5:6" ht="15">
      <c r="E13" s="14" t="s">
        <v>80</v>
      </c>
      <c r="F13" s="5" t="s">
        <v>493</v>
      </c>
    </row>
    <row r="14" ht="15">
      <c r="E14" s="14"/>
    </row>
    <row r="16" spans="1:2" ht="18">
      <c r="A16" s="16" t="s">
        <v>81</v>
      </c>
      <c r="B16" s="16"/>
    </row>
    <row r="17" spans="1:2" ht="15">
      <c r="A17" s="17" t="s">
        <v>95</v>
      </c>
      <c r="B17" s="17"/>
    </row>
    <row r="18" spans="1:2" ht="14.25">
      <c r="A18" s="19"/>
      <c r="B18" s="20" t="s">
        <v>120</v>
      </c>
    </row>
    <row r="19" spans="1:5" ht="15">
      <c r="A19" s="21" t="s">
        <v>84</v>
      </c>
      <c r="B19" s="21" t="s">
        <v>85</v>
      </c>
      <c r="C19" s="21" t="s">
        <v>86</v>
      </c>
      <c r="D19" s="21" t="s">
        <v>87</v>
      </c>
      <c r="E19" s="21" t="s">
        <v>88</v>
      </c>
    </row>
    <row r="20" spans="1:5" ht="12.75">
      <c r="A20" s="18" t="s">
        <v>111</v>
      </c>
      <c r="B20" s="5" t="s">
        <v>121</v>
      </c>
      <c r="C20" s="5" t="s">
        <v>122</v>
      </c>
      <c r="D20" s="5" t="s">
        <v>123</v>
      </c>
      <c r="E20" s="22" t="s">
        <v>124</v>
      </c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Q6" sqref="Q6"/>
    </sheetView>
  </sheetViews>
  <sheetFormatPr defaultColWidth="9.00390625" defaultRowHeight="12.75"/>
  <cols>
    <col min="1" max="1" width="26.00390625" style="0" bestFit="1" customWidth="1"/>
    <col min="2" max="2" width="28.625" style="0" bestFit="1" customWidth="1"/>
    <col min="5" max="5" width="22.75390625" style="0" bestFit="1" customWidth="1"/>
    <col min="6" max="6" width="30.25390625" style="0" bestFit="1" customWidth="1"/>
    <col min="17" max="17" width="15.875" style="0" bestFit="1" customWidth="1"/>
  </cols>
  <sheetData>
    <row r="1" spans="1:17" ht="12.75" customHeight="1">
      <c r="A1" s="60" t="s">
        <v>657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17" ht="81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ht="15" customHeight="1">
      <c r="A3" s="66" t="s">
        <v>0</v>
      </c>
      <c r="B3" s="68" t="s">
        <v>6</v>
      </c>
      <c r="C3" s="68" t="s">
        <v>7</v>
      </c>
      <c r="D3" s="70" t="s">
        <v>10</v>
      </c>
      <c r="E3" s="70" t="s">
        <v>4</v>
      </c>
      <c r="F3" s="70" t="s">
        <v>8</v>
      </c>
      <c r="G3" s="70" t="s">
        <v>700</v>
      </c>
      <c r="H3" s="70"/>
      <c r="I3" s="70"/>
      <c r="J3" s="70"/>
      <c r="K3" s="70" t="s">
        <v>701</v>
      </c>
      <c r="L3" s="70"/>
      <c r="M3" s="70"/>
      <c r="N3" s="70"/>
      <c r="O3" s="70" t="s">
        <v>1</v>
      </c>
      <c r="P3" s="70" t="s">
        <v>3</v>
      </c>
      <c r="Q3" s="57" t="s">
        <v>2</v>
      </c>
    </row>
    <row r="4" spans="1:17" ht="15.75" thickBot="1">
      <c r="A4" s="67"/>
      <c r="B4" s="69"/>
      <c r="C4" s="69"/>
      <c r="D4" s="69"/>
      <c r="E4" s="69"/>
      <c r="F4" s="69"/>
      <c r="G4" s="2">
        <v>1</v>
      </c>
      <c r="H4" s="2">
        <v>2</v>
      </c>
      <c r="I4" s="2">
        <v>3</v>
      </c>
      <c r="J4" s="2" t="s">
        <v>5</v>
      </c>
      <c r="K4" s="2">
        <v>1</v>
      </c>
      <c r="L4" s="2">
        <v>2</v>
      </c>
      <c r="M4" s="2">
        <v>3</v>
      </c>
      <c r="N4" s="2" t="s">
        <v>5</v>
      </c>
      <c r="O4" s="69"/>
      <c r="P4" s="69"/>
      <c r="Q4" s="58"/>
    </row>
    <row r="5" spans="1:17" ht="15">
      <c r="A5" s="71" t="s">
        <v>110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12.75">
      <c r="A6" s="6" t="s">
        <v>164</v>
      </c>
      <c r="B6" s="6" t="s">
        <v>165</v>
      </c>
      <c r="C6" s="6" t="s">
        <v>661</v>
      </c>
      <c r="D6" s="6" t="s">
        <v>660</v>
      </c>
      <c r="E6" s="6" t="s">
        <v>167</v>
      </c>
      <c r="F6" s="6" t="s">
        <v>34</v>
      </c>
      <c r="G6" s="8" t="s">
        <v>699</v>
      </c>
      <c r="H6" s="8" t="s">
        <v>702</v>
      </c>
      <c r="I6" s="7" t="s">
        <v>93</v>
      </c>
      <c r="J6" s="7"/>
      <c r="K6" s="6" t="s">
        <v>698</v>
      </c>
      <c r="L6" s="8" t="s">
        <v>699</v>
      </c>
      <c r="M6" s="37">
        <v>230</v>
      </c>
      <c r="N6" s="8"/>
      <c r="O6" s="6" t="s">
        <v>703</v>
      </c>
      <c r="P6" s="8"/>
      <c r="Q6" s="6" t="s">
        <v>712</v>
      </c>
    </row>
    <row r="7" spans="1:17" ht="12.75">
      <c r="A7" s="5"/>
      <c r="B7" s="5"/>
      <c r="C7" s="5"/>
      <c r="D7" s="5"/>
      <c r="E7" s="5"/>
      <c r="F7" s="5"/>
      <c r="G7" s="4"/>
      <c r="H7" s="4"/>
      <c r="I7" s="36"/>
      <c r="J7" s="36"/>
      <c r="K7" s="5"/>
      <c r="L7" s="4"/>
      <c r="M7" s="5"/>
      <c r="N7" s="4"/>
      <c r="O7" s="5"/>
      <c r="P7" s="4"/>
      <c r="Q7" s="5"/>
    </row>
    <row r="8" spans="1:17" ht="12.75">
      <c r="A8" s="5"/>
      <c r="B8" s="5"/>
      <c r="C8" s="5"/>
      <c r="D8" s="5"/>
      <c r="E8" s="42" t="s">
        <v>76</v>
      </c>
      <c r="F8" s="5" t="s">
        <v>488</v>
      </c>
      <c r="G8" s="4"/>
      <c r="H8" s="4"/>
      <c r="I8" s="4"/>
      <c r="J8" s="4"/>
      <c r="K8" s="4"/>
      <c r="L8" s="4"/>
      <c r="M8" s="4"/>
      <c r="N8" s="4"/>
      <c r="O8" s="5"/>
      <c r="P8" s="4"/>
      <c r="Q8" s="5"/>
    </row>
    <row r="9" spans="1:17" ht="12.75">
      <c r="A9" s="5"/>
      <c r="B9" s="5"/>
      <c r="C9" s="5"/>
      <c r="D9" s="5"/>
      <c r="E9" s="42" t="s">
        <v>77</v>
      </c>
      <c r="F9" s="5" t="s">
        <v>489</v>
      </c>
      <c r="G9" s="4"/>
      <c r="H9" s="4"/>
      <c r="I9" s="4"/>
      <c r="J9" s="4"/>
      <c r="K9" s="4"/>
      <c r="L9" s="4"/>
      <c r="M9" s="4"/>
      <c r="N9" s="4"/>
      <c r="O9" s="5"/>
      <c r="P9" s="4"/>
      <c r="Q9" s="5"/>
    </row>
    <row r="10" spans="1:17" ht="12.75">
      <c r="A10" s="5"/>
      <c r="B10" s="5"/>
      <c r="C10" s="5"/>
      <c r="D10" s="5"/>
      <c r="E10" s="42" t="s">
        <v>78</v>
      </c>
      <c r="F10" s="5" t="s">
        <v>490</v>
      </c>
      <c r="G10" s="4"/>
      <c r="H10" s="4"/>
      <c r="I10" s="4"/>
      <c r="J10" s="4"/>
      <c r="K10" s="4"/>
      <c r="L10" s="4"/>
      <c r="M10" s="4"/>
      <c r="N10" s="4"/>
      <c r="O10" s="5"/>
      <c r="P10" s="4"/>
      <c r="Q10" s="5"/>
    </row>
    <row r="11" spans="1:17" ht="12.75">
      <c r="A11" s="5"/>
      <c r="B11" s="5"/>
      <c r="C11" s="5"/>
      <c r="D11" s="5"/>
      <c r="E11" s="42" t="s">
        <v>79</v>
      </c>
      <c r="F11" s="5" t="s">
        <v>491</v>
      </c>
      <c r="G11" s="4"/>
      <c r="H11" s="4"/>
      <c r="I11" s="4"/>
      <c r="J11" s="4"/>
      <c r="K11" s="4"/>
      <c r="L11" s="4"/>
      <c r="M11" s="4"/>
      <c r="N11" s="4"/>
      <c r="O11" s="5"/>
      <c r="P11" s="4"/>
      <c r="Q11" s="5"/>
    </row>
    <row r="12" spans="1:17" ht="12.75">
      <c r="A12" s="5"/>
      <c r="B12" s="5"/>
      <c r="C12" s="5"/>
      <c r="D12" s="5"/>
      <c r="E12" s="42" t="s">
        <v>79</v>
      </c>
      <c r="F12" s="5" t="s">
        <v>492</v>
      </c>
      <c r="G12" s="4"/>
      <c r="H12" s="4"/>
      <c r="I12" s="4"/>
      <c r="J12" s="4"/>
      <c r="K12" s="4"/>
      <c r="L12" s="4"/>
      <c r="M12" s="4"/>
      <c r="N12" s="4"/>
      <c r="O12" s="5"/>
      <c r="P12" s="4"/>
      <c r="Q12" s="5"/>
    </row>
    <row r="13" spans="1:17" ht="12.75">
      <c r="A13" s="5"/>
      <c r="B13" s="5"/>
      <c r="C13" s="5"/>
      <c r="D13" s="5"/>
      <c r="E13" s="42" t="s">
        <v>80</v>
      </c>
      <c r="F13" s="5" t="s">
        <v>493</v>
      </c>
      <c r="G13" s="4"/>
      <c r="H13" s="4"/>
      <c r="I13" s="4"/>
      <c r="J13" s="4"/>
      <c r="K13" s="4"/>
      <c r="L13" s="4"/>
      <c r="M13" s="4"/>
      <c r="N13" s="4"/>
      <c r="O13" s="5"/>
      <c r="P13" s="4"/>
      <c r="Q13" s="5"/>
    </row>
    <row r="14" spans="1:17" ht="15">
      <c r="A14" s="45"/>
      <c r="B14" s="45"/>
      <c r="C14" s="45"/>
      <c r="D14" s="45"/>
      <c r="E14" s="14"/>
      <c r="F14" s="5"/>
      <c r="G14" s="51"/>
      <c r="H14" s="4"/>
      <c r="I14" s="4"/>
      <c r="J14" s="4"/>
      <c r="K14" s="4"/>
      <c r="L14" s="4"/>
      <c r="M14" s="4"/>
      <c r="N14" s="4"/>
      <c r="O14" s="5"/>
      <c r="P14" s="4"/>
      <c r="Q14" s="5"/>
    </row>
    <row r="15" spans="1:17" ht="18">
      <c r="A15" s="49"/>
      <c r="B15" s="49"/>
      <c r="C15" s="45"/>
      <c r="D15" s="45"/>
      <c r="E15" s="45"/>
      <c r="F15" s="45"/>
      <c r="G15" s="51"/>
      <c r="H15" s="4"/>
      <c r="I15" s="4"/>
      <c r="J15" s="4"/>
      <c r="K15" s="4"/>
      <c r="L15" s="4"/>
      <c r="M15" s="4"/>
      <c r="N15" s="4"/>
      <c r="O15" s="5"/>
      <c r="P15" s="4"/>
      <c r="Q15" s="5"/>
    </row>
    <row r="16" spans="1:17" ht="15">
      <c r="A16" s="50"/>
      <c r="B16" s="50"/>
      <c r="C16" s="45"/>
      <c r="D16" s="45"/>
      <c r="E16" s="45"/>
      <c r="F16" s="45"/>
      <c r="G16" s="51"/>
      <c r="H16" s="4"/>
      <c r="I16" s="4"/>
      <c r="J16" s="4"/>
      <c r="K16" s="4"/>
      <c r="L16" s="4"/>
      <c r="M16" s="4"/>
      <c r="N16" s="4"/>
      <c r="O16" s="5"/>
      <c r="P16" s="4"/>
      <c r="Q16" s="5"/>
    </row>
    <row r="17" spans="1:17" ht="14.25">
      <c r="A17" s="43"/>
      <c r="B17" s="44"/>
      <c r="C17" s="45"/>
      <c r="D17" s="45"/>
      <c r="E17" s="45"/>
      <c r="F17" s="45"/>
      <c r="G17" s="51"/>
      <c r="H17" s="4"/>
      <c r="I17" s="4"/>
      <c r="J17" s="4"/>
      <c r="K17" s="4"/>
      <c r="L17" s="4"/>
      <c r="M17" s="4"/>
      <c r="N17" s="4"/>
      <c r="O17" s="5"/>
      <c r="P17" s="4"/>
      <c r="Q17" s="5"/>
    </row>
    <row r="18" spans="1:17" ht="15">
      <c r="A18" s="46"/>
      <c r="B18" s="46"/>
      <c r="C18" s="46"/>
      <c r="D18" s="46"/>
      <c r="E18" s="46"/>
      <c r="F18" s="45"/>
      <c r="G18" s="51"/>
      <c r="H18" s="4"/>
      <c r="I18" s="4"/>
      <c r="J18" s="4"/>
      <c r="K18" s="4"/>
      <c r="L18" s="4"/>
      <c r="M18" s="4"/>
      <c r="N18" s="4"/>
      <c r="O18" s="5"/>
      <c r="P18" s="4"/>
      <c r="Q18" s="5"/>
    </row>
    <row r="19" spans="1:17" ht="12.75">
      <c r="A19" s="47"/>
      <c r="B19" s="45"/>
      <c r="C19" s="45"/>
      <c r="D19" s="45"/>
      <c r="E19" s="48"/>
      <c r="F19" s="45"/>
      <c r="G19" s="51"/>
      <c r="H19" s="4"/>
      <c r="I19" s="4"/>
      <c r="J19" s="4"/>
      <c r="K19" s="4"/>
      <c r="L19" s="4"/>
      <c r="M19" s="4"/>
      <c r="N19" s="4"/>
      <c r="O19" s="5"/>
      <c r="P19" s="4"/>
      <c r="Q19" s="5"/>
    </row>
    <row r="20" spans="1:7" ht="12.75">
      <c r="A20" s="52"/>
      <c r="B20" s="52"/>
      <c r="C20" s="52"/>
      <c r="D20" s="52"/>
      <c r="E20" s="52"/>
      <c r="F20" s="52"/>
      <c r="G20" s="52"/>
    </row>
    <row r="21" spans="1:7" ht="12.75">
      <c r="A21" s="52"/>
      <c r="B21" s="52"/>
      <c r="C21" s="52"/>
      <c r="D21" s="52"/>
      <c r="E21" s="52"/>
      <c r="F21" s="52"/>
      <c r="G21" s="52"/>
    </row>
    <row r="22" spans="1:7" ht="12.75">
      <c r="A22" s="52"/>
      <c r="B22" s="52"/>
      <c r="C22" s="52"/>
      <c r="D22" s="52"/>
      <c r="E22" s="52"/>
      <c r="F22" s="52"/>
      <c r="G22" s="52"/>
    </row>
    <row r="23" spans="1:7" ht="12.75">
      <c r="A23" s="52"/>
      <c r="B23" s="52"/>
      <c r="C23" s="52"/>
      <c r="D23" s="52"/>
      <c r="E23" s="52"/>
      <c r="F23" s="52"/>
      <c r="G23" s="52"/>
    </row>
    <row r="24" spans="1:7" ht="12.75">
      <c r="A24" s="52"/>
      <c r="B24" s="52"/>
      <c r="C24" s="52"/>
      <c r="D24" s="52"/>
      <c r="E24" s="52"/>
      <c r="F24" s="52"/>
      <c r="G24" s="52"/>
    </row>
    <row r="25" spans="1:7" ht="12.75">
      <c r="A25" s="52"/>
      <c r="B25" s="52"/>
      <c r="C25" s="52"/>
      <c r="D25" s="52"/>
      <c r="E25" s="52"/>
      <c r="F25" s="52"/>
      <c r="G25" s="52"/>
    </row>
    <row r="26" spans="1:7" ht="12.75">
      <c r="A26" s="52"/>
      <c r="B26" s="52"/>
      <c r="C26" s="52"/>
      <c r="D26" s="52"/>
      <c r="E26" s="52"/>
      <c r="F26" s="52"/>
      <c r="G26" s="52"/>
    </row>
    <row r="27" spans="1:7" ht="12.75">
      <c r="A27" s="52"/>
      <c r="B27" s="52"/>
      <c r="C27" s="52"/>
      <c r="D27" s="52"/>
      <c r="E27" s="52"/>
      <c r="F27" s="52"/>
      <c r="G27" s="52"/>
    </row>
    <row r="28" spans="1:7" ht="12.75">
      <c r="A28" s="52"/>
      <c r="B28" s="52"/>
      <c r="C28" s="52"/>
      <c r="D28" s="52"/>
      <c r="E28" s="52"/>
      <c r="F28" s="52"/>
      <c r="G28" s="52"/>
    </row>
    <row r="29" spans="1:7" ht="12.75">
      <c r="A29" s="52"/>
      <c r="B29" s="52"/>
      <c r="C29" s="52"/>
      <c r="D29" s="52"/>
      <c r="E29" s="52"/>
      <c r="F29" s="52"/>
      <c r="G29" s="52"/>
    </row>
    <row r="30" spans="1:7" ht="12.75">
      <c r="A30" s="52"/>
      <c r="B30" s="52"/>
      <c r="C30" s="52"/>
      <c r="D30" s="52"/>
      <c r="E30" s="52"/>
      <c r="F30" s="52"/>
      <c r="G30" s="52"/>
    </row>
  </sheetData>
  <sheetProtection/>
  <mergeCells count="13">
    <mergeCell ref="P3:P4"/>
    <mergeCell ref="Q3:Q4"/>
    <mergeCell ref="A5:Q5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26.00390625" style="0" bestFit="1" customWidth="1"/>
    <col min="2" max="2" width="28.625" style="0" bestFit="1" customWidth="1"/>
    <col min="5" max="5" width="22.75390625" style="0" bestFit="1" customWidth="1"/>
    <col min="6" max="6" width="30.25390625" style="0" bestFit="1" customWidth="1"/>
    <col min="12" max="12" width="11.375" style="0" customWidth="1"/>
    <col min="17" max="17" width="15.875" style="0" bestFit="1" customWidth="1"/>
  </cols>
  <sheetData>
    <row r="1" spans="1:17" ht="12.75" customHeight="1">
      <c r="A1" s="60" t="s">
        <v>658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17" ht="81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ht="15" customHeight="1">
      <c r="A3" s="66" t="s">
        <v>0</v>
      </c>
      <c r="B3" s="68" t="s">
        <v>6</v>
      </c>
      <c r="C3" s="68" t="s">
        <v>7</v>
      </c>
      <c r="D3" s="70" t="s">
        <v>10</v>
      </c>
      <c r="E3" s="70" t="s">
        <v>4</v>
      </c>
      <c r="F3" s="70" t="s">
        <v>8</v>
      </c>
      <c r="G3" s="70" t="s">
        <v>662</v>
      </c>
      <c r="H3" s="70"/>
      <c r="I3" s="70"/>
      <c r="J3" s="70"/>
      <c r="K3" s="70" t="s">
        <v>538</v>
      </c>
      <c r="L3" s="70"/>
      <c r="M3" s="70"/>
      <c r="N3" s="70"/>
      <c r="O3" s="70" t="s">
        <v>1</v>
      </c>
      <c r="P3" s="70" t="s">
        <v>3</v>
      </c>
      <c r="Q3" s="57" t="s">
        <v>2</v>
      </c>
    </row>
    <row r="4" spans="1:17" ht="15.75" thickBot="1">
      <c r="A4" s="67"/>
      <c r="B4" s="69"/>
      <c r="C4" s="69"/>
      <c r="D4" s="69"/>
      <c r="E4" s="69"/>
      <c r="F4" s="69"/>
      <c r="G4" s="2">
        <v>1</v>
      </c>
      <c r="H4" s="2">
        <v>2</v>
      </c>
      <c r="I4" s="2">
        <v>3</v>
      </c>
      <c r="J4" s="2" t="s">
        <v>5</v>
      </c>
      <c r="K4" s="2" t="s">
        <v>540</v>
      </c>
      <c r="L4" s="2" t="s">
        <v>541</v>
      </c>
      <c r="M4" s="2" t="s">
        <v>539</v>
      </c>
      <c r="N4" s="2" t="s">
        <v>3</v>
      </c>
      <c r="O4" s="69"/>
      <c r="P4" s="69"/>
      <c r="Q4" s="58"/>
    </row>
    <row r="5" spans="1:17" ht="15">
      <c r="A5" s="71" t="s">
        <v>110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13.5" thickBot="1">
      <c r="A6" s="6" t="s">
        <v>597</v>
      </c>
      <c r="B6" s="6" t="s">
        <v>659</v>
      </c>
      <c r="C6" s="6" t="s">
        <v>661</v>
      </c>
      <c r="D6" s="6"/>
      <c r="E6" s="6" t="s">
        <v>167</v>
      </c>
      <c r="F6" s="6" t="s">
        <v>34</v>
      </c>
      <c r="G6" s="8" t="s">
        <v>704</v>
      </c>
      <c r="H6" s="8" t="s">
        <v>663</v>
      </c>
      <c r="I6" s="7" t="s">
        <v>705</v>
      </c>
      <c r="J6" s="7"/>
      <c r="K6" s="6" t="s">
        <v>664</v>
      </c>
      <c r="L6" s="8" t="s">
        <v>665</v>
      </c>
      <c r="M6" s="37">
        <v>3440</v>
      </c>
      <c r="N6" s="8" t="s">
        <v>665</v>
      </c>
      <c r="O6" s="6"/>
      <c r="P6" s="8" t="s">
        <v>673</v>
      </c>
      <c r="Q6" s="6" t="s">
        <v>711</v>
      </c>
    </row>
    <row r="7" spans="1:17" ht="15">
      <c r="A7" s="71" t="s">
        <v>707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ht="12.75">
      <c r="A8" s="6" t="s">
        <v>611</v>
      </c>
      <c r="B8" s="6" t="s">
        <v>667</v>
      </c>
      <c r="C8" s="6" t="s">
        <v>603</v>
      </c>
      <c r="D8" s="6"/>
      <c r="E8" s="6" t="s">
        <v>690</v>
      </c>
      <c r="F8" s="6" t="s">
        <v>34</v>
      </c>
      <c r="G8" s="8" t="s">
        <v>663</v>
      </c>
      <c r="H8" s="7" t="s">
        <v>668</v>
      </c>
      <c r="I8" s="54" t="s">
        <v>668</v>
      </c>
      <c r="J8" s="7"/>
      <c r="K8" s="6" t="s">
        <v>669</v>
      </c>
      <c r="L8" s="8" t="s">
        <v>670</v>
      </c>
      <c r="M8" s="37">
        <v>2975</v>
      </c>
      <c r="N8" s="8" t="s">
        <v>670</v>
      </c>
      <c r="O8" s="6"/>
      <c r="P8" s="8" t="s">
        <v>672</v>
      </c>
      <c r="Q8" s="6" t="s">
        <v>691</v>
      </c>
    </row>
    <row r="9" spans="1:17" ht="12.75">
      <c r="A9" s="5"/>
      <c r="B9" s="5"/>
      <c r="C9" s="5"/>
      <c r="D9" s="5"/>
      <c r="E9" s="5"/>
      <c r="F9" s="5"/>
      <c r="G9" s="4"/>
      <c r="H9" s="4"/>
      <c r="I9" s="36"/>
      <c r="J9" s="36"/>
      <c r="K9" s="5"/>
      <c r="L9" s="4"/>
      <c r="M9" s="5"/>
      <c r="N9" s="4"/>
      <c r="O9" s="5"/>
      <c r="P9" s="4"/>
      <c r="Q9" s="5"/>
    </row>
    <row r="10" spans="1:17" ht="12.75">
      <c r="A10" s="5"/>
      <c r="B10" s="5"/>
      <c r="C10" s="5"/>
      <c r="D10" s="5"/>
      <c r="E10" s="42" t="s">
        <v>76</v>
      </c>
      <c r="F10" s="5" t="s">
        <v>488</v>
      </c>
      <c r="G10" s="4"/>
      <c r="H10" s="4"/>
      <c r="I10" s="4"/>
      <c r="J10" s="4"/>
      <c r="K10" s="4"/>
      <c r="L10" s="4"/>
      <c r="M10" s="4"/>
      <c r="N10" s="4"/>
      <c r="O10" s="5"/>
      <c r="P10" s="4"/>
      <c r="Q10" s="5"/>
    </row>
    <row r="11" spans="1:17" ht="12.75">
      <c r="A11" s="5"/>
      <c r="B11" s="5"/>
      <c r="C11" s="5"/>
      <c r="D11" s="5"/>
      <c r="E11" s="42" t="s">
        <v>77</v>
      </c>
      <c r="F11" s="5" t="s">
        <v>489</v>
      </c>
      <c r="G11" s="4"/>
      <c r="H11" s="4"/>
      <c r="I11" s="4"/>
      <c r="J11" s="4"/>
      <c r="K11" s="4"/>
      <c r="L11" s="4"/>
      <c r="M11" s="4"/>
      <c r="N11" s="4"/>
      <c r="O11" s="5"/>
      <c r="P11" s="4"/>
      <c r="Q11" s="5"/>
    </row>
    <row r="12" spans="1:17" ht="12.75">
      <c r="A12" s="5"/>
      <c r="B12" s="5"/>
      <c r="C12" s="5"/>
      <c r="D12" s="5"/>
      <c r="E12" s="42" t="s">
        <v>78</v>
      </c>
      <c r="F12" s="5" t="s">
        <v>490</v>
      </c>
      <c r="G12" s="4"/>
      <c r="H12" s="4"/>
      <c r="I12" s="4"/>
      <c r="J12" s="4"/>
      <c r="K12" s="4"/>
      <c r="L12" s="4"/>
      <c r="M12" s="4"/>
      <c r="N12" s="4"/>
      <c r="O12" s="5"/>
      <c r="P12" s="4"/>
      <c r="Q12" s="5"/>
    </row>
    <row r="13" spans="1:17" ht="12.75">
      <c r="A13" s="5"/>
      <c r="B13" s="5"/>
      <c r="C13" s="5"/>
      <c r="D13" s="5"/>
      <c r="E13" s="42" t="s">
        <v>79</v>
      </c>
      <c r="F13" s="5" t="s">
        <v>491</v>
      </c>
      <c r="G13" s="4"/>
      <c r="H13" s="4"/>
      <c r="I13" s="4"/>
      <c r="J13" s="4"/>
      <c r="K13" s="4"/>
      <c r="L13" s="4"/>
      <c r="M13" s="4"/>
      <c r="N13" s="4"/>
      <c r="O13" s="5"/>
      <c r="P13" s="4"/>
      <c r="Q13" s="5"/>
    </row>
    <row r="14" spans="1:17" ht="12.75">
      <c r="A14" s="5"/>
      <c r="B14" s="5"/>
      <c r="C14" s="5"/>
      <c r="D14" s="5"/>
      <c r="E14" s="42" t="s">
        <v>79</v>
      </c>
      <c r="F14" s="5" t="s">
        <v>492</v>
      </c>
      <c r="G14" s="4"/>
      <c r="H14" s="4"/>
      <c r="I14" s="4"/>
      <c r="J14" s="4"/>
      <c r="K14" s="4"/>
      <c r="L14" s="4"/>
      <c r="M14" s="4"/>
      <c r="N14" s="4"/>
      <c r="O14" s="5"/>
      <c r="P14" s="4"/>
      <c r="Q14" s="5"/>
    </row>
    <row r="15" spans="1:17" ht="12.75">
      <c r="A15" s="5"/>
      <c r="B15" s="5"/>
      <c r="C15" s="5"/>
      <c r="D15" s="5"/>
      <c r="E15" s="42" t="s">
        <v>80</v>
      </c>
      <c r="F15" s="5" t="s">
        <v>493</v>
      </c>
      <c r="G15" s="4"/>
      <c r="H15" s="4"/>
      <c r="I15" s="4"/>
      <c r="J15" s="4"/>
      <c r="K15" s="4"/>
      <c r="L15" s="4"/>
      <c r="M15" s="4"/>
      <c r="N15" s="4"/>
      <c r="O15" s="5"/>
      <c r="P15" s="4"/>
      <c r="Q15" s="5"/>
    </row>
    <row r="16" spans="1:17" ht="15">
      <c r="A16" s="45"/>
      <c r="B16" s="45"/>
      <c r="C16" s="45"/>
      <c r="D16" s="45"/>
      <c r="E16" s="14"/>
      <c r="F16" s="5"/>
      <c r="G16" s="4"/>
      <c r="H16" s="4"/>
      <c r="I16" s="4"/>
      <c r="J16" s="4"/>
      <c r="K16" s="4"/>
      <c r="L16" s="4"/>
      <c r="M16" s="4"/>
      <c r="N16" s="4"/>
      <c r="O16" s="5"/>
      <c r="P16" s="4"/>
      <c r="Q16" s="5"/>
    </row>
    <row r="17" spans="1:17" ht="18">
      <c r="A17" s="49"/>
      <c r="B17" s="49"/>
      <c r="C17" s="45"/>
      <c r="D17" s="45"/>
      <c r="E17" s="45"/>
      <c r="F17" s="45"/>
      <c r="G17" s="4"/>
      <c r="H17" s="4"/>
      <c r="I17" s="4"/>
      <c r="J17" s="4"/>
      <c r="K17" s="4"/>
      <c r="L17" s="4"/>
      <c r="M17" s="4"/>
      <c r="N17" s="4"/>
      <c r="O17" s="5"/>
      <c r="P17" s="4"/>
      <c r="Q17" s="5"/>
    </row>
    <row r="18" spans="1:17" ht="15">
      <c r="A18" s="50"/>
      <c r="B18" s="50"/>
      <c r="C18" s="45"/>
      <c r="D18" s="45"/>
      <c r="E18" s="45"/>
      <c r="F18" s="45"/>
      <c r="G18" s="4"/>
      <c r="H18" s="4"/>
      <c r="I18" s="4"/>
      <c r="J18" s="4"/>
      <c r="K18" s="4"/>
      <c r="L18" s="4"/>
      <c r="M18" s="4"/>
      <c r="N18" s="4"/>
      <c r="O18" s="5"/>
      <c r="P18" s="4"/>
      <c r="Q18" s="5"/>
    </row>
    <row r="19" spans="1:17" ht="14.25">
      <c r="A19" s="43"/>
      <c r="B19" s="44"/>
      <c r="C19" s="45"/>
      <c r="D19" s="45"/>
      <c r="E19" s="45"/>
      <c r="F19" s="45"/>
      <c r="G19" s="4"/>
      <c r="H19" s="4"/>
      <c r="I19" s="4"/>
      <c r="J19" s="4"/>
      <c r="K19" s="4"/>
      <c r="L19" s="4"/>
      <c r="M19" s="4"/>
      <c r="N19" s="4"/>
      <c r="O19" s="5"/>
      <c r="P19" s="4"/>
      <c r="Q19" s="5"/>
    </row>
    <row r="20" spans="1:17" ht="15">
      <c r="A20" s="46"/>
      <c r="B20" s="46"/>
      <c r="C20" s="46"/>
      <c r="D20" s="46"/>
      <c r="E20" s="46"/>
      <c r="F20" s="45"/>
      <c r="G20" s="4"/>
      <c r="H20" s="4"/>
      <c r="I20" s="4"/>
      <c r="J20" s="4"/>
      <c r="K20" s="4"/>
      <c r="L20" s="4"/>
      <c r="M20" s="4"/>
      <c r="N20" s="4"/>
      <c r="O20" s="5"/>
      <c r="P20" s="4"/>
      <c r="Q20" s="5"/>
    </row>
    <row r="21" spans="1:17" ht="12.75">
      <c r="A21" s="47"/>
      <c r="B21" s="45"/>
      <c r="C21" s="45"/>
      <c r="D21" s="45"/>
      <c r="E21" s="48"/>
      <c r="F21" s="45"/>
      <c r="G21" s="4"/>
      <c r="H21" s="4"/>
      <c r="I21" s="4"/>
      <c r="J21" s="4"/>
      <c r="K21" s="4"/>
      <c r="L21" s="4"/>
      <c r="M21" s="4"/>
      <c r="N21" s="4"/>
      <c r="O21" s="5"/>
      <c r="P21" s="4"/>
      <c r="Q21" s="5"/>
    </row>
    <row r="22" spans="1:6" ht="12.75">
      <c r="A22" s="52"/>
      <c r="B22" s="52"/>
      <c r="C22" s="52"/>
      <c r="D22" s="52"/>
      <c r="E22" s="52"/>
      <c r="F22" s="52"/>
    </row>
    <row r="23" spans="1:6" ht="12.75">
      <c r="A23" s="52"/>
      <c r="B23" s="52"/>
      <c r="C23" s="52"/>
      <c r="D23" s="52"/>
      <c r="E23" s="52"/>
      <c r="F23" s="52"/>
    </row>
    <row r="24" spans="1:6" ht="12.75">
      <c r="A24" s="52"/>
      <c r="B24" s="52"/>
      <c r="C24" s="52"/>
      <c r="D24" s="52"/>
      <c r="E24" s="52"/>
      <c r="F24" s="52"/>
    </row>
    <row r="25" spans="1:6" ht="12.75">
      <c r="A25" s="52"/>
      <c r="B25" s="52"/>
      <c r="C25" s="52"/>
      <c r="D25" s="52"/>
      <c r="E25" s="52"/>
      <c r="F25" s="52"/>
    </row>
    <row r="26" spans="1:6" ht="12.75">
      <c r="A26" s="52"/>
      <c r="B26" s="52"/>
      <c r="C26" s="52"/>
      <c r="D26" s="52"/>
      <c r="E26" s="52"/>
      <c r="F26" s="52"/>
    </row>
    <row r="27" spans="1:6" ht="12.75">
      <c r="A27" s="52"/>
      <c r="B27" s="52"/>
      <c r="C27" s="52"/>
      <c r="D27" s="52"/>
      <c r="E27" s="52"/>
      <c r="F27" s="52"/>
    </row>
    <row r="28" spans="1:6" ht="12.75">
      <c r="A28" s="52"/>
      <c r="B28" s="52"/>
      <c r="C28" s="52"/>
      <c r="D28" s="52"/>
      <c r="E28" s="52"/>
      <c r="F28" s="52"/>
    </row>
  </sheetData>
  <sheetProtection/>
  <mergeCells count="15">
    <mergeCell ref="A7:Q7"/>
    <mergeCell ref="A1:Q2"/>
    <mergeCell ref="A3:A4"/>
    <mergeCell ref="B3:B4"/>
    <mergeCell ref="C3:C4"/>
    <mergeCell ref="D3:D4"/>
    <mergeCell ref="E3:E4"/>
    <mergeCell ref="F3:F4"/>
    <mergeCell ref="G3:J3"/>
    <mergeCell ref="O3:O4"/>
    <mergeCell ref="P3:P4"/>
    <mergeCell ref="Q3:Q4"/>
    <mergeCell ref="A5:Q5"/>
    <mergeCell ref="K3:L3"/>
    <mergeCell ref="M3:N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P6" sqref="P6"/>
    </sheetView>
  </sheetViews>
  <sheetFormatPr defaultColWidth="9.00390625" defaultRowHeight="12.75"/>
  <cols>
    <col min="1" max="1" width="26.00390625" style="0" bestFit="1" customWidth="1"/>
    <col min="2" max="2" width="28.625" style="0" bestFit="1" customWidth="1"/>
    <col min="5" max="5" width="22.75390625" style="0" bestFit="1" customWidth="1"/>
    <col min="6" max="6" width="30.25390625" style="0" bestFit="1" customWidth="1"/>
    <col min="11" max="11" width="5.00390625" style="0" bestFit="1" customWidth="1"/>
    <col min="12" max="12" width="10.375" style="0" bestFit="1" customWidth="1"/>
    <col min="17" max="17" width="15.875" style="0" bestFit="1" customWidth="1"/>
  </cols>
  <sheetData>
    <row r="1" spans="1:17" ht="12.75" customHeight="1">
      <c r="A1" s="60" t="s">
        <v>671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17" ht="81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ht="15" customHeight="1">
      <c r="A3" s="66" t="s">
        <v>0</v>
      </c>
      <c r="B3" s="68" t="s">
        <v>6</v>
      </c>
      <c r="C3" s="68" t="s">
        <v>7</v>
      </c>
      <c r="D3" s="70" t="s">
        <v>10</v>
      </c>
      <c r="E3" s="70" t="s">
        <v>4</v>
      </c>
      <c r="F3" s="70" t="s">
        <v>8</v>
      </c>
      <c r="G3" s="70" t="s">
        <v>662</v>
      </c>
      <c r="H3" s="70"/>
      <c r="I3" s="70"/>
      <c r="J3" s="70"/>
      <c r="K3" s="70" t="s">
        <v>538</v>
      </c>
      <c r="L3" s="70"/>
      <c r="M3" s="70"/>
      <c r="N3" s="70"/>
      <c r="O3" s="70" t="s">
        <v>1</v>
      </c>
      <c r="P3" s="70" t="s">
        <v>3</v>
      </c>
      <c r="Q3" s="57" t="s">
        <v>2</v>
      </c>
    </row>
    <row r="4" spans="1:17" ht="15.75" thickBot="1">
      <c r="A4" s="67"/>
      <c r="B4" s="69"/>
      <c r="C4" s="69"/>
      <c r="D4" s="69"/>
      <c r="E4" s="69"/>
      <c r="F4" s="69"/>
      <c r="G4" s="2">
        <v>1</v>
      </c>
      <c r="H4" s="2">
        <v>2</v>
      </c>
      <c r="I4" s="2">
        <v>3</v>
      </c>
      <c r="J4" s="2" t="s">
        <v>5</v>
      </c>
      <c r="K4" s="2" t="s">
        <v>540</v>
      </c>
      <c r="L4" s="2" t="s">
        <v>541</v>
      </c>
      <c r="M4" s="2" t="s">
        <v>539</v>
      </c>
      <c r="N4" s="2" t="s">
        <v>3</v>
      </c>
      <c r="O4" s="69"/>
      <c r="P4" s="69"/>
      <c r="Q4" s="58"/>
    </row>
    <row r="5" spans="1:17" ht="15">
      <c r="A5" s="71" t="s">
        <v>110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12.75">
      <c r="A6" s="6" t="s">
        <v>649</v>
      </c>
      <c r="B6" s="6" t="s">
        <v>674</v>
      </c>
      <c r="C6" s="6" t="s">
        <v>678</v>
      </c>
      <c r="D6" s="6"/>
      <c r="E6" s="6" t="s">
        <v>167</v>
      </c>
      <c r="F6" s="6" t="s">
        <v>34</v>
      </c>
      <c r="G6" s="7" t="s">
        <v>201</v>
      </c>
      <c r="H6" s="8" t="s">
        <v>201</v>
      </c>
      <c r="I6" s="8" t="s">
        <v>132</v>
      </c>
      <c r="J6" s="7"/>
      <c r="K6" s="6" t="s">
        <v>675</v>
      </c>
      <c r="L6" s="8" t="s">
        <v>676</v>
      </c>
      <c r="M6" s="37">
        <v>1881</v>
      </c>
      <c r="N6" s="8" t="s">
        <v>676</v>
      </c>
      <c r="O6" s="6"/>
      <c r="P6" s="8" t="s">
        <v>677</v>
      </c>
      <c r="Q6" s="6" t="s">
        <v>666</v>
      </c>
    </row>
    <row r="7" spans="1:17" ht="12.75">
      <c r="A7" s="5"/>
      <c r="B7" s="5"/>
      <c r="C7" s="5"/>
      <c r="D7" s="5"/>
      <c r="E7" s="5"/>
      <c r="F7" s="5"/>
      <c r="G7" s="4"/>
      <c r="H7" s="4"/>
      <c r="I7" s="36"/>
      <c r="J7" s="36"/>
      <c r="K7" s="5"/>
      <c r="L7" s="4"/>
      <c r="M7" s="5"/>
      <c r="N7" s="4"/>
      <c r="O7" s="5"/>
      <c r="P7" s="4"/>
      <c r="Q7" s="5"/>
    </row>
    <row r="8" spans="1:17" ht="12.75">
      <c r="A8" s="5"/>
      <c r="B8" s="5"/>
      <c r="C8" s="5"/>
      <c r="D8" s="5"/>
      <c r="E8" s="42" t="s">
        <v>76</v>
      </c>
      <c r="F8" s="5" t="s">
        <v>488</v>
      </c>
      <c r="G8" s="4"/>
      <c r="H8" s="4"/>
      <c r="I8" s="4"/>
      <c r="J8" s="4"/>
      <c r="K8" s="4"/>
      <c r="L8" s="4"/>
      <c r="M8" s="4"/>
      <c r="N8" s="4"/>
      <c r="O8" s="5"/>
      <c r="P8" s="4"/>
      <c r="Q8" s="5"/>
    </row>
    <row r="9" spans="1:17" ht="12.75">
      <c r="A9" s="5"/>
      <c r="B9" s="5"/>
      <c r="C9" s="5"/>
      <c r="D9" s="5"/>
      <c r="E9" s="42" t="s">
        <v>77</v>
      </c>
      <c r="F9" s="5" t="s">
        <v>489</v>
      </c>
      <c r="G9" s="4"/>
      <c r="H9" s="4"/>
      <c r="I9" s="4"/>
      <c r="J9" s="4"/>
      <c r="K9" s="4"/>
      <c r="L9" s="4"/>
      <c r="M9" s="4"/>
      <c r="N9" s="4"/>
      <c r="O9" s="5"/>
      <c r="P9" s="4"/>
      <c r="Q9" s="5"/>
    </row>
    <row r="10" spans="1:17" ht="12.75">
      <c r="A10" s="5"/>
      <c r="B10" s="5"/>
      <c r="C10" s="5"/>
      <c r="D10" s="5"/>
      <c r="E10" s="42" t="s">
        <v>78</v>
      </c>
      <c r="F10" s="5" t="s">
        <v>490</v>
      </c>
      <c r="G10" s="4"/>
      <c r="H10" s="4"/>
      <c r="I10" s="4"/>
      <c r="J10" s="4"/>
      <c r="K10" s="4"/>
      <c r="L10" s="4"/>
      <c r="M10" s="4"/>
      <c r="N10" s="4"/>
      <c r="O10" s="5"/>
      <c r="P10" s="4"/>
      <c r="Q10" s="5"/>
    </row>
    <row r="11" spans="1:17" ht="12.75">
      <c r="A11" s="5"/>
      <c r="B11" s="5"/>
      <c r="C11" s="5"/>
      <c r="D11" s="5"/>
      <c r="E11" s="42" t="s">
        <v>79</v>
      </c>
      <c r="F11" s="5" t="s">
        <v>491</v>
      </c>
      <c r="G11" s="4"/>
      <c r="H11" s="4"/>
      <c r="I11" s="4"/>
      <c r="J11" s="4"/>
      <c r="K11" s="4"/>
      <c r="L11" s="4"/>
      <c r="M11" s="4"/>
      <c r="N11" s="4"/>
      <c r="O11" s="5"/>
      <c r="P11" s="4"/>
      <c r="Q11" s="5"/>
    </row>
    <row r="12" spans="1:17" ht="12.75">
      <c r="A12" s="5"/>
      <c r="B12" s="5"/>
      <c r="C12" s="5"/>
      <c r="D12" s="5"/>
      <c r="E12" s="42" t="s">
        <v>79</v>
      </c>
      <c r="F12" s="5" t="s">
        <v>492</v>
      </c>
      <c r="G12" s="4"/>
      <c r="H12" s="4"/>
      <c r="I12" s="4"/>
      <c r="J12" s="4"/>
      <c r="K12" s="4"/>
      <c r="L12" s="4"/>
      <c r="M12" s="4"/>
      <c r="N12" s="4"/>
      <c r="O12" s="5"/>
      <c r="P12" s="4"/>
      <c r="Q12" s="5"/>
    </row>
    <row r="13" spans="1:17" ht="12.75">
      <c r="A13" s="5"/>
      <c r="B13" s="5"/>
      <c r="C13" s="5"/>
      <c r="D13" s="5"/>
      <c r="E13" s="42" t="s">
        <v>80</v>
      </c>
      <c r="F13" s="5" t="s">
        <v>493</v>
      </c>
      <c r="G13" s="4"/>
      <c r="H13" s="4"/>
      <c r="I13" s="4"/>
      <c r="J13" s="4"/>
      <c r="K13" s="4"/>
      <c r="L13" s="4"/>
      <c r="M13" s="4"/>
      <c r="N13" s="4"/>
      <c r="O13" s="5"/>
      <c r="P13" s="4"/>
      <c r="Q13" s="5"/>
    </row>
    <row r="14" spans="1:17" ht="15">
      <c r="A14" s="45"/>
      <c r="B14" s="45"/>
      <c r="C14" s="45"/>
      <c r="D14" s="45"/>
      <c r="E14" s="14"/>
      <c r="F14" s="5"/>
      <c r="G14" s="4"/>
      <c r="H14" s="4"/>
      <c r="I14" s="4"/>
      <c r="J14" s="4"/>
      <c r="K14" s="4"/>
      <c r="L14" s="4"/>
      <c r="M14" s="4"/>
      <c r="N14" s="4"/>
      <c r="O14" s="5"/>
      <c r="P14" s="4"/>
      <c r="Q14" s="5"/>
    </row>
    <row r="15" spans="1:17" ht="18">
      <c r="A15" s="49"/>
      <c r="B15" s="49"/>
      <c r="C15" s="45"/>
      <c r="D15" s="45"/>
      <c r="E15" s="45"/>
      <c r="F15" s="45"/>
      <c r="G15" s="4"/>
      <c r="H15" s="4"/>
      <c r="I15" s="4"/>
      <c r="J15" s="4"/>
      <c r="K15" s="4"/>
      <c r="L15" s="4"/>
      <c r="M15" s="4"/>
      <c r="N15" s="4"/>
      <c r="O15" s="5"/>
      <c r="P15" s="4"/>
      <c r="Q15" s="5"/>
    </row>
    <row r="16" spans="1:17" ht="15">
      <c r="A16" s="50"/>
      <c r="B16" s="50"/>
      <c r="C16" s="45"/>
      <c r="D16" s="45"/>
      <c r="E16" s="45"/>
      <c r="F16" s="45"/>
      <c r="G16" s="4"/>
      <c r="H16" s="4"/>
      <c r="I16" s="4"/>
      <c r="J16" s="4"/>
      <c r="K16" s="4"/>
      <c r="L16" s="4"/>
      <c r="M16" s="4"/>
      <c r="N16" s="4"/>
      <c r="O16" s="5"/>
      <c r="P16" s="4"/>
      <c r="Q16" s="5"/>
    </row>
    <row r="17" spans="1:17" ht="14.25">
      <c r="A17" s="43"/>
      <c r="B17" s="44"/>
      <c r="C17" s="45"/>
      <c r="D17" s="45"/>
      <c r="E17" s="45"/>
      <c r="F17" s="45"/>
      <c r="G17" s="4"/>
      <c r="H17" s="4"/>
      <c r="I17" s="4"/>
      <c r="J17" s="4"/>
      <c r="K17" s="4"/>
      <c r="L17" s="4"/>
      <c r="M17" s="4"/>
      <c r="N17" s="4"/>
      <c r="O17" s="5"/>
      <c r="P17" s="4"/>
      <c r="Q17" s="5"/>
    </row>
    <row r="18" spans="1:17" ht="15">
      <c r="A18" s="46"/>
      <c r="B18" s="46"/>
      <c r="C18" s="46"/>
      <c r="D18" s="46"/>
      <c r="E18" s="46"/>
      <c r="F18" s="45"/>
      <c r="G18" s="4"/>
      <c r="H18" s="4"/>
      <c r="I18" s="4"/>
      <c r="J18" s="4"/>
      <c r="K18" s="4"/>
      <c r="L18" s="4"/>
      <c r="M18" s="4"/>
      <c r="N18" s="4"/>
      <c r="O18" s="5"/>
      <c r="P18" s="4"/>
      <c r="Q18" s="5"/>
    </row>
    <row r="19" spans="1:17" ht="12.75">
      <c r="A19" s="47"/>
      <c r="B19" s="45"/>
      <c r="C19" s="45"/>
      <c r="D19" s="45"/>
      <c r="E19" s="48"/>
      <c r="F19" s="45"/>
      <c r="G19" s="4"/>
      <c r="H19" s="4"/>
      <c r="I19" s="4"/>
      <c r="J19" s="4"/>
      <c r="K19" s="4"/>
      <c r="L19" s="4"/>
      <c r="M19" s="4"/>
      <c r="N19" s="4"/>
      <c r="O19" s="5"/>
      <c r="P19" s="4"/>
      <c r="Q19" s="5"/>
    </row>
    <row r="20" spans="1:6" ht="12.75">
      <c r="A20" s="52"/>
      <c r="B20" s="52"/>
      <c r="C20" s="52"/>
      <c r="D20" s="52"/>
      <c r="E20" s="52"/>
      <c r="F20" s="52"/>
    </row>
    <row r="21" spans="1:6" ht="12.75">
      <c r="A21" s="52"/>
      <c r="B21" s="52"/>
      <c r="C21" s="52"/>
      <c r="D21" s="52"/>
      <c r="E21" s="52"/>
      <c r="F21" s="52"/>
    </row>
    <row r="22" spans="1:6" ht="12.75">
      <c r="A22" s="52"/>
      <c r="B22" s="52"/>
      <c r="C22" s="52"/>
      <c r="D22" s="52"/>
      <c r="E22" s="52"/>
      <c r="F22" s="52"/>
    </row>
    <row r="23" spans="1:6" ht="12.75">
      <c r="A23" s="52"/>
      <c r="B23" s="52"/>
      <c r="C23" s="52"/>
      <c r="D23" s="52"/>
      <c r="E23" s="52"/>
      <c r="F23" s="52"/>
    </row>
    <row r="24" spans="1:6" ht="12.75">
      <c r="A24" s="52"/>
      <c r="B24" s="52"/>
      <c r="C24" s="52"/>
      <c r="D24" s="52"/>
      <c r="E24" s="52"/>
      <c r="F24" s="52"/>
    </row>
    <row r="25" spans="1:6" ht="12.75">
      <c r="A25" s="52"/>
      <c r="B25" s="52"/>
      <c r="C25" s="52"/>
      <c r="D25" s="52"/>
      <c r="E25" s="52"/>
      <c r="F25" s="52"/>
    </row>
    <row r="26" spans="1:6" ht="12.75">
      <c r="A26" s="52"/>
      <c r="B26" s="52"/>
      <c r="C26" s="52"/>
      <c r="D26" s="52"/>
      <c r="E26" s="52"/>
      <c r="F26" s="52"/>
    </row>
    <row r="27" spans="1:6" ht="12.75">
      <c r="A27" s="52"/>
      <c r="B27" s="52"/>
      <c r="C27" s="52"/>
      <c r="D27" s="52"/>
      <c r="E27" s="52"/>
      <c r="F27" s="52"/>
    </row>
    <row r="28" spans="1:6" ht="12.75">
      <c r="A28" s="52"/>
      <c r="B28" s="52"/>
      <c r="C28" s="52"/>
      <c r="D28" s="52"/>
      <c r="E28" s="52"/>
      <c r="F28" s="52"/>
    </row>
  </sheetData>
  <sheetProtection/>
  <mergeCells count="14">
    <mergeCell ref="O3:O4"/>
    <mergeCell ref="P3:P4"/>
    <mergeCell ref="Q3:Q4"/>
    <mergeCell ref="A5:Q5"/>
    <mergeCell ref="A1:Q2"/>
    <mergeCell ref="A3:A4"/>
    <mergeCell ref="B3:B4"/>
    <mergeCell ref="C3:C4"/>
    <mergeCell ref="D3:D4"/>
    <mergeCell ref="E3:E4"/>
    <mergeCell ref="F3:F4"/>
    <mergeCell ref="G3:J3"/>
    <mergeCell ref="K3:L3"/>
    <mergeCell ref="M3:N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10.75390625" style="5" bestFit="1" customWidth="1"/>
    <col min="5" max="5" width="22.75390625" style="5" bestFit="1" customWidth="1"/>
    <col min="6" max="6" width="24.125" style="5" bestFit="1" customWidth="1"/>
    <col min="7" max="7" width="5.625" style="4" bestFit="1" customWidth="1"/>
    <col min="8" max="8" width="10.375" style="32" bestFit="1" customWidth="1"/>
    <col min="9" max="9" width="7.875" style="5" bestFit="1" customWidth="1"/>
    <col min="10" max="10" width="9.625" style="4" bestFit="1" customWidth="1"/>
    <col min="11" max="11" width="10.875" style="5" bestFit="1" customWidth="1"/>
    <col min="12" max="16384" width="9.125" style="4" customWidth="1"/>
  </cols>
  <sheetData>
    <row r="1" spans="1:11" s="3" customFormat="1" ht="28.5" customHeight="1">
      <c r="A1" s="60" t="s">
        <v>625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3" customFormat="1" ht="75.7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s="1" customFormat="1" ht="15">
      <c r="A3" s="66" t="s">
        <v>0</v>
      </c>
      <c r="B3" s="68" t="s">
        <v>6</v>
      </c>
      <c r="C3" s="68" t="s">
        <v>7</v>
      </c>
      <c r="D3" s="70" t="s">
        <v>626</v>
      </c>
      <c r="E3" s="70" t="s">
        <v>4</v>
      </c>
      <c r="F3" s="70" t="s">
        <v>8</v>
      </c>
      <c r="G3" s="70" t="s">
        <v>538</v>
      </c>
      <c r="H3" s="70"/>
      <c r="I3" s="70" t="s">
        <v>539</v>
      </c>
      <c r="J3" s="70" t="s">
        <v>3</v>
      </c>
      <c r="K3" s="57" t="s">
        <v>2</v>
      </c>
    </row>
    <row r="4" spans="1:11" s="1" customFormat="1" ht="15.75" thickBot="1">
      <c r="A4" s="67"/>
      <c r="B4" s="69"/>
      <c r="C4" s="69"/>
      <c r="D4" s="69"/>
      <c r="E4" s="69"/>
      <c r="F4" s="69"/>
      <c r="G4" s="2" t="s">
        <v>540</v>
      </c>
      <c r="H4" s="31" t="s">
        <v>541</v>
      </c>
      <c r="I4" s="69"/>
      <c r="J4" s="69"/>
      <c r="K4" s="58"/>
    </row>
    <row r="5" spans="1:10" ht="15">
      <c r="A5" s="59" t="s">
        <v>139</v>
      </c>
      <c r="B5" s="59"/>
      <c r="C5" s="59"/>
      <c r="D5" s="59"/>
      <c r="E5" s="59"/>
      <c r="F5" s="59"/>
      <c r="G5" s="59"/>
      <c r="H5" s="59"/>
      <c r="I5" s="59"/>
      <c r="J5" s="59"/>
    </row>
    <row r="6" spans="1:11" ht="12.75">
      <c r="A6" s="6" t="s">
        <v>601</v>
      </c>
      <c r="B6" s="6" t="s">
        <v>602</v>
      </c>
      <c r="C6" s="6" t="s">
        <v>603</v>
      </c>
      <c r="D6" s="6" t="str">
        <f>"0,7186"</f>
        <v>0,7186</v>
      </c>
      <c r="E6" s="6" t="s">
        <v>690</v>
      </c>
      <c r="F6" s="6" t="s">
        <v>34</v>
      </c>
      <c r="G6" s="8" t="s">
        <v>627</v>
      </c>
      <c r="H6" s="39" t="s">
        <v>628</v>
      </c>
      <c r="I6" s="6" t="str">
        <f>"3330,0"</f>
        <v>3330,0</v>
      </c>
      <c r="J6" s="8" t="str">
        <f>"2392,9379"</f>
        <v>2392,9379</v>
      </c>
      <c r="K6" s="6" t="s">
        <v>691</v>
      </c>
    </row>
    <row r="8" spans="1:10" ht="15">
      <c r="A8" s="72" t="s">
        <v>69</v>
      </c>
      <c r="B8" s="72"/>
      <c r="C8" s="72"/>
      <c r="D8" s="72"/>
      <c r="E8" s="72"/>
      <c r="F8" s="72"/>
      <c r="G8" s="72"/>
      <c r="H8" s="72"/>
      <c r="I8" s="72"/>
      <c r="J8" s="72"/>
    </row>
    <row r="9" spans="1:11" ht="12.75">
      <c r="A9" s="6" t="s">
        <v>629</v>
      </c>
      <c r="B9" s="6" t="s">
        <v>368</v>
      </c>
      <c r="C9" s="6" t="s">
        <v>369</v>
      </c>
      <c r="D9" s="6" t="str">
        <f>"0,6466"</f>
        <v>0,6466</v>
      </c>
      <c r="E9" s="6" t="s">
        <v>33</v>
      </c>
      <c r="F9" s="6" t="s">
        <v>143</v>
      </c>
      <c r="G9" s="8" t="s">
        <v>39</v>
      </c>
      <c r="H9" s="33" t="s">
        <v>630</v>
      </c>
      <c r="I9" s="6" t="str">
        <f>"1870,0"</f>
        <v>1870,0</v>
      </c>
      <c r="J9" s="8" t="str">
        <f>"1209,1420"</f>
        <v>1209,1420</v>
      </c>
      <c r="K9" s="6" t="s">
        <v>293</v>
      </c>
    </row>
    <row r="11" spans="5:6" ht="12.75">
      <c r="E11" s="42" t="s">
        <v>76</v>
      </c>
      <c r="F11" s="5" t="s">
        <v>488</v>
      </c>
    </row>
    <row r="12" spans="5:6" ht="12.75">
      <c r="E12" s="42" t="s">
        <v>77</v>
      </c>
      <c r="F12" s="5" t="s">
        <v>489</v>
      </c>
    </row>
    <row r="13" spans="5:6" ht="12.75">
      <c r="E13" s="42" t="s">
        <v>78</v>
      </c>
      <c r="F13" s="5" t="s">
        <v>490</v>
      </c>
    </row>
    <row r="14" spans="5:6" ht="12.75">
      <c r="E14" s="42" t="s">
        <v>79</v>
      </c>
      <c r="F14" s="5" t="s">
        <v>491</v>
      </c>
    </row>
    <row r="15" spans="5:6" ht="12.75">
      <c r="E15" s="42" t="s">
        <v>79</v>
      </c>
      <c r="F15" s="5" t="s">
        <v>492</v>
      </c>
    </row>
    <row r="16" spans="5:6" ht="12.75">
      <c r="E16" s="42" t="s">
        <v>80</v>
      </c>
      <c r="F16" s="5" t="s">
        <v>493</v>
      </c>
    </row>
    <row r="17" ht="15">
      <c r="E17" s="14"/>
    </row>
    <row r="19" spans="1:2" ht="18">
      <c r="A19" s="16" t="s">
        <v>81</v>
      </c>
      <c r="B19" s="16"/>
    </row>
    <row r="20" spans="1:2" ht="15">
      <c r="A20" s="17" t="s">
        <v>95</v>
      </c>
      <c r="B20" s="17"/>
    </row>
    <row r="21" spans="1:2" ht="14.25">
      <c r="A21" s="19"/>
      <c r="B21" s="20" t="s">
        <v>83</v>
      </c>
    </row>
    <row r="22" spans="1:5" ht="15">
      <c r="A22" s="21" t="s">
        <v>84</v>
      </c>
      <c r="B22" s="21" t="s">
        <v>85</v>
      </c>
      <c r="C22" s="21" t="s">
        <v>86</v>
      </c>
      <c r="D22" s="21" t="s">
        <v>87</v>
      </c>
      <c r="E22" s="21" t="s">
        <v>631</v>
      </c>
    </row>
    <row r="23" spans="1:5" ht="12.75">
      <c r="A23" s="18" t="s">
        <v>611</v>
      </c>
      <c r="B23" s="5" t="s">
        <v>83</v>
      </c>
      <c r="C23" s="5" t="s">
        <v>317</v>
      </c>
      <c r="D23" s="5" t="s">
        <v>632</v>
      </c>
      <c r="E23" s="22" t="s">
        <v>633</v>
      </c>
    </row>
    <row r="24" spans="1:5" ht="12.75">
      <c r="A24" s="18" t="s">
        <v>366</v>
      </c>
      <c r="B24" s="5" t="s">
        <v>83</v>
      </c>
      <c r="C24" s="5" t="s">
        <v>106</v>
      </c>
      <c r="D24" s="5" t="s">
        <v>634</v>
      </c>
      <c r="E24" s="22" t="s">
        <v>635</v>
      </c>
    </row>
  </sheetData>
  <sheetProtection/>
  <mergeCells count="13">
    <mergeCell ref="K3:K4"/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10.75390625" style="5" bestFit="1" customWidth="1"/>
    <col min="5" max="5" width="22.75390625" style="5" bestFit="1" customWidth="1"/>
    <col min="6" max="6" width="24.125" style="5" bestFit="1" customWidth="1"/>
    <col min="7" max="7" width="5.00390625" style="4" bestFit="1" customWidth="1"/>
    <col min="8" max="8" width="10.375" style="32" bestFit="1" customWidth="1"/>
    <col min="9" max="9" width="7.875" style="5" bestFit="1" customWidth="1"/>
    <col min="10" max="10" width="9.625" style="4" bestFit="1" customWidth="1"/>
    <col min="11" max="11" width="16.375" style="5" bestFit="1" customWidth="1"/>
    <col min="12" max="16384" width="9.125" style="4" customWidth="1"/>
  </cols>
  <sheetData>
    <row r="1" spans="1:11" s="3" customFormat="1" ht="28.5" customHeight="1">
      <c r="A1" s="60" t="s">
        <v>636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3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s="1" customFormat="1" ht="15">
      <c r="A3" s="66" t="s">
        <v>0</v>
      </c>
      <c r="B3" s="68" t="s">
        <v>6</v>
      </c>
      <c r="C3" s="68" t="s">
        <v>7</v>
      </c>
      <c r="D3" s="70" t="s">
        <v>626</v>
      </c>
      <c r="E3" s="70" t="s">
        <v>4</v>
      </c>
      <c r="F3" s="70" t="s">
        <v>8</v>
      </c>
      <c r="G3" s="70" t="s">
        <v>538</v>
      </c>
      <c r="H3" s="70"/>
      <c r="I3" s="70" t="s">
        <v>539</v>
      </c>
      <c r="J3" s="70" t="s">
        <v>3</v>
      </c>
      <c r="K3" s="57" t="s">
        <v>2</v>
      </c>
    </row>
    <row r="4" spans="1:11" s="1" customFormat="1" ht="15.75" thickBot="1">
      <c r="A4" s="67"/>
      <c r="B4" s="69"/>
      <c r="C4" s="69"/>
      <c r="D4" s="69"/>
      <c r="E4" s="69"/>
      <c r="F4" s="69"/>
      <c r="G4" s="2" t="s">
        <v>540</v>
      </c>
      <c r="H4" s="31" t="s">
        <v>541</v>
      </c>
      <c r="I4" s="69"/>
      <c r="J4" s="69"/>
      <c r="K4" s="58"/>
    </row>
    <row r="5" spans="1:10" ht="15">
      <c r="A5" s="59" t="s">
        <v>110</v>
      </c>
      <c r="B5" s="59"/>
      <c r="C5" s="59"/>
      <c r="D5" s="59"/>
      <c r="E5" s="59"/>
      <c r="F5" s="59"/>
      <c r="G5" s="59"/>
      <c r="H5" s="59"/>
      <c r="I5" s="59"/>
      <c r="J5" s="59"/>
    </row>
    <row r="6" spans="1:11" ht="12.75">
      <c r="A6" s="9" t="s">
        <v>637</v>
      </c>
      <c r="B6" s="9" t="s">
        <v>638</v>
      </c>
      <c r="C6" s="9" t="s">
        <v>639</v>
      </c>
      <c r="D6" s="9" t="str">
        <f>"0,7800"</f>
        <v>0,7800</v>
      </c>
      <c r="E6" s="9" t="s">
        <v>220</v>
      </c>
      <c r="F6" s="9" t="s">
        <v>34</v>
      </c>
      <c r="G6" s="10" t="s">
        <v>47</v>
      </c>
      <c r="H6" s="40" t="s">
        <v>609</v>
      </c>
      <c r="I6" s="9" t="str">
        <f>"3680,0"</f>
        <v>3680,0</v>
      </c>
      <c r="J6" s="10" t="str">
        <f>"2870,3999"</f>
        <v>2870,3999</v>
      </c>
      <c r="K6" s="9" t="s">
        <v>257</v>
      </c>
    </row>
    <row r="7" spans="1:11" ht="12.75">
      <c r="A7" s="12" t="s">
        <v>640</v>
      </c>
      <c r="B7" s="12" t="s">
        <v>246</v>
      </c>
      <c r="C7" s="12" t="s">
        <v>247</v>
      </c>
      <c r="D7" s="12" t="str">
        <f>"0,7587"</f>
        <v>0,7587</v>
      </c>
      <c r="E7" s="12" t="s">
        <v>684</v>
      </c>
      <c r="F7" s="12" t="s">
        <v>34</v>
      </c>
      <c r="G7" s="15" t="s">
        <v>194</v>
      </c>
      <c r="H7" s="35" t="s">
        <v>641</v>
      </c>
      <c r="I7" s="12" t="str">
        <f>"2062,5"</f>
        <v>2062,5</v>
      </c>
      <c r="J7" s="15" t="str">
        <f>"1564,8188"</f>
        <v>1564,8188</v>
      </c>
      <c r="K7" s="12" t="s">
        <v>248</v>
      </c>
    </row>
    <row r="9" spans="1:10" ht="15">
      <c r="A9" s="72" t="s">
        <v>139</v>
      </c>
      <c r="B9" s="72"/>
      <c r="C9" s="72"/>
      <c r="D9" s="72"/>
      <c r="E9" s="72"/>
      <c r="F9" s="72"/>
      <c r="G9" s="72"/>
      <c r="H9" s="72"/>
      <c r="I9" s="72"/>
      <c r="J9" s="72"/>
    </row>
    <row r="10" spans="1:11" ht="12.75">
      <c r="A10" s="9" t="s">
        <v>642</v>
      </c>
      <c r="B10" s="9" t="s">
        <v>141</v>
      </c>
      <c r="C10" s="9" t="s">
        <v>643</v>
      </c>
      <c r="D10" s="9" t="str">
        <f>"0,7217"</f>
        <v>0,7217</v>
      </c>
      <c r="E10" s="9" t="s">
        <v>33</v>
      </c>
      <c r="F10" s="9" t="s">
        <v>143</v>
      </c>
      <c r="G10" s="10" t="s">
        <v>627</v>
      </c>
      <c r="H10" s="40" t="s">
        <v>543</v>
      </c>
      <c r="I10" s="9" t="str">
        <f>"2035,0"</f>
        <v>2035,0</v>
      </c>
      <c r="J10" s="10" t="str">
        <f>"1468,6595"</f>
        <v>1468,6595</v>
      </c>
      <c r="K10" s="9" t="s">
        <v>145</v>
      </c>
    </row>
    <row r="11" spans="1:11" ht="12.75">
      <c r="A11" s="12" t="s">
        <v>644</v>
      </c>
      <c r="B11" s="12" t="s">
        <v>290</v>
      </c>
      <c r="C11" s="12" t="s">
        <v>291</v>
      </c>
      <c r="D11" s="12" t="str">
        <f>"0,7044"</f>
        <v>0,7044</v>
      </c>
      <c r="E11" s="12" t="s">
        <v>33</v>
      </c>
      <c r="F11" s="12" t="s">
        <v>143</v>
      </c>
      <c r="G11" s="15" t="s">
        <v>138</v>
      </c>
      <c r="H11" s="41" t="s">
        <v>645</v>
      </c>
      <c r="I11" s="12" t="str">
        <f>"1900,0"</f>
        <v>1900,0</v>
      </c>
      <c r="J11" s="15" t="str">
        <f>"1338,3600"</f>
        <v>1338,3600</v>
      </c>
      <c r="K11" s="12" t="s">
        <v>293</v>
      </c>
    </row>
    <row r="13" spans="5:6" ht="12.75">
      <c r="E13" s="42" t="s">
        <v>76</v>
      </c>
      <c r="F13" s="5" t="s">
        <v>488</v>
      </c>
    </row>
    <row r="14" spans="5:6" ht="12.75">
      <c r="E14" s="42" t="s">
        <v>77</v>
      </c>
      <c r="F14" s="5" t="s">
        <v>489</v>
      </c>
    </row>
    <row r="15" spans="5:6" ht="12.75">
      <c r="E15" s="42" t="s">
        <v>78</v>
      </c>
      <c r="F15" s="5" t="s">
        <v>490</v>
      </c>
    </row>
    <row r="16" spans="5:6" ht="12.75">
      <c r="E16" s="42" t="s">
        <v>79</v>
      </c>
      <c r="F16" s="5" t="s">
        <v>491</v>
      </c>
    </row>
    <row r="17" spans="5:6" ht="12.75">
      <c r="E17" s="42" t="s">
        <v>79</v>
      </c>
      <c r="F17" s="5" t="s">
        <v>492</v>
      </c>
    </row>
    <row r="18" spans="5:6" ht="12.75">
      <c r="E18" s="42" t="s">
        <v>80</v>
      </c>
      <c r="F18" s="5" t="s">
        <v>493</v>
      </c>
    </row>
    <row r="19" ht="12.75">
      <c r="E19" s="42"/>
    </row>
    <row r="21" spans="1:2" ht="18">
      <c r="A21" s="16" t="s">
        <v>81</v>
      </c>
      <c r="B21" s="16"/>
    </row>
    <row r="22" spans="1:2" ht="15">
      <c r="A22" s="17" t="s">
        <v>95</v>
      </c>
      <c r="B22" s="17"/>
    </row>
    <row r="23" spans="1:2" ht="14.25">
      <c r="A23" s="19"/>
      <c r="B23" s="20" t="s">
        <v>83</v>
      </c>
    </row>
    <row r="24" spans="1:5" ht="15">
      <c r="A24" s="21" t="s">
        <v>84</v>
      </c>
      <c r="B24" s="21" t="s">
        <v>85</v>
      </c>
      <c r="C24" s="21" t="s">
        <v>86</v>
      </c>
      <c r="D24" s="21" t="s">
        <v>87</v>
      </c>
      <c r="E24" s="21" t="s">
        <v>631</v>
      </c>
    </row>
    <row r="25" spans="1:5" ht="12.75">
      <c r="A25" s="18" t="s">
        <v>646</v>
      </c>
      <c r="B25" s="5" t="s">
        <v>83</v>
      </c>
      <c r="C25" s="5" t="s">
        <v>122</v>
      </c>
      <c r="D25" s="5" t="s">
        <v>647</v>
      </c>
      <c r="E25" s="22" t="s">
        <v>648</v>
      </c>
    </row>
    <row r="26" spans="1:5" ht="12.75">
      <c r="A26" s="18" t="s">
        <v>649</v>
      </c>
      <c r="B26" s="5" t="s">
        <v>83</v>
      </c>
      <c r="C26" s="5" t="s">
        <v>122</v>
      </c>
      <c r="D26" s="5" t="s">
        <v>650</v>
      </c>
      <c r="E26" s="22" t="s">
        <v>651</v>
      </c>
    </row>
    <row r="27" spans="1:5" ht="12.75">
      <c r="A27" s="18" t="s">
        <v>652</v>
      </c>
      <c r="B27" s="5" t="s">
        <v>83</v>
      </c>
      <c r="C27" s="5" t="s">
        <v>317</v>
      </c>
      <c r="D27" s="5" t="s">
        <v>653</v>
      </c>
      <c r="E27" s="22" t="s">
        <v>654</v>
      </c>
    </row>
    <row r="28" spans="1:5" ht="12.75">
      <c r="A28" s="18" t="s">
        <v>288</v>
      </c>
      <c r="B28" s="5" t="s">
        <v>83</v>
      </c>
      <c r="C28" s="5" t="s">
        <v>317</v>
      </c>
      <c r="D28" s="5" t="s">
        <v>655</v>
      </c>
      <c r="E28" s="22" t="s">
        <v>656</v>
      </c>
    </row>
  </sheetData>
  <sheetProtection/>
  <mergeCells count="13">
    <mergeCell ref="K3:K4"/>
    <mergeCell ref="A5:J5"/>
    <mergeCell ref="A9:J9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E10" sqref="E10:E16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4" width="10.625" style="5" bestFit="1" customWidth="1"/>
    <col min="5" max="5" width="22.75390625" style="5" bestFit="1" customWidth="1"/>
    <col min="6" max="6" width="24.125" style="5" bestFit="1" customWidth="1"/>
    <col min="7" max="7" width="5.625" style="4" bestFit="1" customWidth="1"/>
    <col min="8" max="8" width="10.375" style="32" bestFit="1" customWidth="1"/>
    <col min="9" max="9" width="7.875" style="5" bestFit="1" customWidth="1"/>
    <col min="10" max="10" width="7.62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60" t="s">
        <v>536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3" customFormat="1" ht="57.7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s="1" customFormat="1" ht="15">
      <c r="A3" s="66" t="s">
        <v>0</v>
      </c>
      <c r="B3" s="68" t="s">
        <v>6</v>
      </c>
      <c r="C3" s="68" t="s">
        <v>7</v>
      </c>
      <c r="D3" s="70" t="s">
        <v>537</v>
      </c>
      <c r="E3" s="70" t="s">
        <v>4</v>
      </c>
      <c r="F3" s="70" t="s">
        <v>8</v>
      </c>
      <c r="G3" s="70" t="s">
        <v>538</v>
      </c>
      <c r="H3" s="70"/>
      <c r="I3" s="70" t="s">
        <v>539</v>
      </c>
      <c r="J3" s="70" t="s">
        <v>3</v>
      </c>
      <c r="K3" s="57" t="s">
        <v>2</v>
      </c>
    </row>
    <row r="4" spans="1:11" s="1" customFormat="1" ht="15.75" thickBot="1">
      <c r="A4" s="67"/>
      <c r="B4" s="69"/>
      <c r="C4" s="69"/>
      <c r="D4" s="69"/>
      <c r="E4" s="69"/>
      <c r="F4" s="69"/>
      <c r="G4" s="2" t="s">
        <v>540</v>
      </c>
      <c r="H4" s="31" t="s">
        <v>541</v>
      </c>
      <c r="I4" s="69"/>
      <c r="J4" s="69"/>
      <c r="K4" s="58"/>
    </row>
    <row r="5" spans="1:10" ht="15">
      <c r="A5" s="59" t="s">
        <v>542</v>
      </c>
      <c r="B5" s="59"/>
      <c r="C5" s="59"/>
      <c r="D5" s="59"/>
      <c r="E5" s="59"/>
      <c r="F5" s="59"/>
      <c r="G5" s="59"/>
      <c r="H5" s="59"/>
      <c r="I5" s="59"/>
      <c r="J5" s="59"/>
    </row>
    <row r="6" spans="1:11" ht="12.75">
      <c r="A6" s="9" t="s">
        <v>127</v>
      </c>
      <c r="B6" s="9" t="s">
        <v>128</v>
      </c>
      <c r="C6" s="9" t="s">
        <v>129</v>
      </c>
      <c r="D6" s="9" t="str">
        <f>"1,0000"</f>
        <v>1,0000</v>
      </c>
      <c r="E6" s="9" t="s">
        <v>33</v>
      </c>
      <c r="F6" s="9" t="s">
        <v>130</v>
      </c>
      <c r="G6" s="10" t="s">
        <v>25</v>
      </c>
      <c r="H6" s="34" t="s">
        <v>543</v>
      </c>
      <c r="I6" s="9" t="str">
        <f>"2200,0"</f>
        <v>2200,0</v>
      </c>
      <c r="J6" s="10" t="str">
        <f>"25,0712"</f>
        <v>25,0712</v>
      </c>
      <c r="K6" s="9" t="s">
        <v>57</v>
      </c>
    </row>
    <row r="7" spans="1:11" ht="12.75">
      <c r="A7" s="23" t="s">
        <v>544</v>
      </c>
      <c r="B7" s="23" t="s">
        <v>148</v>
      </c>
      <c r="C7" s="23" t="s">
        <v>149</v>
      </c>
      <c r="D7" s="23" t="str">
        <f>"1,0000"</f>
        <v>1,0000</v>
      </c>
      <c r="E7" s="23" t="s">
        <v>33</v>
      </c>
      <c r="F7" s="23" t="s">
        <v>130</v>
      </c>
      <c r="G7" s="25" t="s">
        <v>25</v>
      </c>
      <c r="H7" s="38" t="s">
        <v>545</v>
      </c>
      <c r="I7" s="23" t="str">
        <f>"1800,0"</f>
        <v>1800,0</v>
      </c>
      <c r="J7" s="25" t="str">
        <f>"16,8460"</f>
        <v>16,8460</v>
      </c>
      <c r="K7" s="23" t="s">
        <v>57</v>
      </c>
    </row>
    <row r="8" spans="1:11" ht="12.75">
      <c r="A8" s="12" t="s">
        <v>546</v>
      </c>
      <c r="B8" s="12" t="s">
        <v>304</v>
      </c>
      <c r="C8" s="12" t="s">
        <v>305</v>
      </c>
      <c r="D8" s="12" t="str">
        <f>"1,0000"</f>
        <v>1,0000</v>
      </c>
      <c r="E8" s="12" t="s">
        <v>33</v>
      </c>
      <c r="F8" s="12" t="s">
        <v>143</v>
      </c>
      <c r="G8" s="15" t="s">
        <v>25</v>
      </c>
      <c r="H8" s="35" t="s">
        <v>545</v>
      </c>
      <c r="I8" s="12" t="str">
        <f>"1800,0"</f>
        <v>1800,0</v>
      </c>
      <c r="J8" s="15" t="str">
        <f>"15,5844"</f>
        <v>15,5844</v>
      </c>
      <c r="K8" s="12" t="s">
        <v>57</v>
      </c>
    </row>
    <row r="10" spans="5:6" ht="12.75">
      <c r="E10" s="42" t="s">
        <v>76</v>
      </c>
      <c r="F10" s="5" t="s">
        <v>488</v>
      </c>
    </row>
    <row r="11" spans="5:6" ht="12.75">
      <c r="E11" s="42" t="s">
        <v>77</v>
      </c>
      <c r="F11" s="5" t="s">
        <v>489</v>
      </c>
    </row>
    <row r="12" spans="5:6" ht="12.75">
      <c r="E12" s="42" t="s">
        <v>78</v>
      </c>
      <c r="F12" s="5" t="s">
        <v>490</v>
      </c>
    </row>
    <row r="13" spans="5:6" ht="12.75">
      <c r="E13" s="42" t="s">
        <v>79</v>
      </c>
      <c r="F13" s="5" t="s">
        <v>491</v>
      </c>
    </row>
    <row r="14" spans="5:6" ht="12.75">
      <c r="E14" s="42" t="s">
        <v>79</v>
      </c>
      <c r="F14" s="5" t="s">
        <v>492</v>
      </c>
    </row>
    <row r="15" spans="5:6" ht="12.75">
      <c r="E15" s="42" t="s">
        <v>80</v>
      </c>
      <c r="F15" s="5" t="s">
        <v>493</v>
      </c>
    </row>
    <row r="16" ht="12.75">
      <c r="E16" s="42"/>
    </row>
    <row r="18" spans="1:2" ht="18">
      <c r="A18" s="16" t="s">
        <v>81</v>
      </c>
      <c r="B18" s="16"/>
    </row>
    <row r="19" spans="1:2" ht="15">
      <c r="A19" s="17" t="s">
        <v>95</v>
      </c>
      <c r="B19" s="17"/>
    </row>
    <row r="20" spans="1:2" ht="14.25">
      <c r="A20" s="19"/>
      <c r="B20" s="20" t="s">
        <v>83</v>
      </c>
    </row>
    <row r="21" spans="1:5" ht="15">
      <c r="A21" s="21" t="s">
        <v>84</v>
      </c>
      <c r="B21" s="21" t="s">
        <v>85</v>
      </c>
      <c r="C21" s="21" t="s">
        <v>86</v>
      </c>
      <c r="D21" s="21" t="s">
        <v>87</v>
      </c>
      <c r="E21" s="21" t="s">
        <v>547</v>
      </c>
    </row>
    <row r="22" spans="1:5" ht="12.75">
      <c r="A22" s="18" t="s">
        <v>126</v>
      </c>
      <c r="B22" s="5" t="s">
        <v>83</v>
      </c>
      <c r="C22" s="5" t="s">
        <v>548</v>
      </c>
      <c r="D22" s="5" t="s">
        <v>549</v>
      </c>
      <c r="E22" s="22" t="s">
        <v>550</v>
      </c>
    </row>
    <row r="23" spans="1:5" ht="12.75">
      <c r="A23" s="18" t="s">
        <v>146</v>
      </c>
      <c r="B23" s="5" t="s">
        <v>83</v>
      </c>
      <c r="C23" s="5" t="s">
        <v>548</v>
      </c>
      <c r="D23" s="5" t="s">
        <v>551</v>
      </c>
      <c r="E23" s="22" t="s">
        <v>552</v>
      </c>
    </row>
    <row r="24" spans="1:5" ht="12.75">
      <c r="A24" s="18" t="s">
        <v>553</v>
      </c>
      <c r="B24" s="5" t="s">
        <v>83</v>
      </c>
      <c r="C24" s="5" t="s">
        <v>548</v>
      </c>
      <c r="D24" s="5" t="s">
        <v>551</v>
      </c>
      <c r="E24" s="22" t="s">
        <v>554</v>
      </c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2019-04-08T14:35:44Z</dcterms:modified>
  <cp:category/>
  <cp:version/>
  <cp:contentType/>
  <cp:contentStatus/>
</cp:coreProperties>
</file>